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6.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chart71.xml" ContentType="application/vnd.openxmlformats-officedocument.drawingml.chart+xml"/>
  <Override PartName="/xl/charts/style3.xml" ContentType="application/vnd.ms-office.chartstyle+xml"/>
  <Override PartName="/xl/charts/colors3.xml" ContentType="application/vnd.ms-office.chartcolorstyle+xml"/>
  <Override PartName="/xl/charts/chart72.xml" ContentType="application/vnd.openxmlformats-officedocument.drawingml.chart+xml"/>
  <Override PartName="/xl/charts/style4.xml" ContentType="application/vnd.ms-office.chartstyle+xml"/>
  <Override PartName="/xl/charts/colors4.xml" ContentType="application/vnd.ms-office.chartcolorstyle+xml"/>
  <Override PartName="/xl/charts/chart73.xml" ContentType="application/vnd.openxmlformats-officedocument.drawingml.chart+xml"/>
  <Override PartName="/xl/charts/style5.xml" ContentType="application/vnd.ms-office.chartstyle+xml"/>
  <Override PartName="/xl/charts/colors5.xml" ContentType="application/vnd.ms-office.chartcolorstyle+xml"/>
  <Override PartName="/xl/charts/chart70.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mc:AlternateContent xmlns:mc="http://schemas.openxmlformats.org/markup-compatibility/2006">
    <mc:Choice Requires="x15">
      <x15ac:absPath xmlns:x15ac="http://schemas.microsoft.com/office/spreadsheetml/2010/11/ac" url="P:\Projekter\21-000\21-001 Region Nordjylland - Klimaregnskab 2018\2 Bilag slutrapport\BAU scenarier\BAU-Læsø kommune\"/>
    </mc:Choice>
  </mc:AlternateContent>
  <xr:revisionPtr revIDLastSave="0" documentId="13_ncr:1_{848F65D9-2389-40EC-B777-DBF7328212B6}" xr6:coauthVersionLast="45" xr6:coauthVersionMax="45" xr10:uidLastSave="{00000000-0000-0000-0000-000000000000}"/>
  <bookViews>
    <workbookView xWindow="-120" yWindow="-120" windowWidth="29040" windowHeight="17640" tabRatio="520" activeTab="5" xr2:uid="{00000000-000D-0000-FFFF-FFFF00000000}"/>
  </bookViews>
  <sheets>
    <sheet name="BAU2050" sheetId="23" r:id="rId1"/>
    <sheet name="BAU2030" sheetId="25" r:id="rId2"/>
    <sheet name="2018" sheetId="27" r:id="rId3"/>
    <sheet name="1990" sheetId="43" r:id="rId4"/>
    <sheet name="Grafer" sheetId="46" r:id="rId5"/>
    <sheet name="Landbrug + Sammenfatning" sheetId="45" r:id="rId6"/>
  </sheets>
  <definedNames>
    <definedName name="_xlnm.Print_Area" localSheetId="3">'1990'!$A$1:$AQ$91</definedName>
    <definedName name="_xlnm.Print_Area" localSheetId="2">'2018'!$A$1:$AQ$91</definedName>
    <definedName name="_xlnm.Print_Area" localSheetId="1">'BAU2030'!$A$1:$AQ$95</definedName>
    <definedName name="_xlnm.Print_Area" localSheetId="0">'BAU2050'!$A$1:$AQ$91</definedName>
    <definedName name="_xlnm.Print_Area" localSheetId="4">Grafer!$A:$P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78" i="46" l="1"/>
  <c r="C1177" i="46"/>
  <c r="C1176" i="46"/>
  <c r="C1175" i="46"/>
  <c r="C1174" i="46"/>
  <c r="C1173" i="46"/>
  <c r="C1172" i="46"/>
  <c r="C1171" i="46"/>
  <c r="C1170" i="46"/>
  <c r="C1169" i="46"/>
  <c r="C1168" i="46"/>
  <c r="C1167" i="46"/>
  <c r="C1179" i="46" s="1"/>
  <c r="D1165" i="46"/>
  <c r="D1164" i="46"/>
  <c r="D1163" i="46"/>
  <c r="C1127" i="46"/>
  <c r="C1128" i="46" s="1"/>
  <c r="C1126" i="46"/>
  <c r="C1125" i="46"/>
  <c r="C1124" i="46"/>
  <c r="C1123" i="46"/>
  <c r="C1122" i="46"/>
  <c r="C1121" i="46"/>
  <c r="D1119" i="46"/>
  <c r="D1118" i="46"/>
  <c r="D1117" i="46"/>
  <c r="C1078" i="46"/>
  <c r="C1077" i="46"/>
  <c r="C1076" i="46"/>
  <c r="C1075" i="46"/>
  <c r="C1074" i="46"/>
  <c r="C1073" i="46"/>
  <c r="C1072" i="46"/>
  <c r="C1071" i="46"/>
  <c r="C1070" i="46"/>
  <c r="C1069" i="46"/>
  <c r="C1068" i="46"/>
  <c r="C1079" i="46" s="1"/>
  <c r="C1067" i="46"/>
  <c r="D1065" i="46"/>
  <c r="D1064" i="46"/>
  <c r="D1063" i="46"/>
  <c r="C1027" i="46"/>
  <c r="C1026" i="46"/>
  <c r="C1025" i="46"/>
  <c r="C1024" i="46"/>
  <c r="C1028" i="46" s="1"/>
  <c r="C1023" i="46"/>
  <c r="D1021" i="46"/>
  <c r="D1020" i="46"/>
  <c r="D1019" i="46"/>
  <c r="D1028" i="46" s="1"/>
  <c r="E920" i="46"/>
  <c r="D920" i="46"/>
  <c r="C920" i="46"/>
  <c r="E919" i="46"/>
  <c r="D919" i="46"/>
  <c r="C919" i="46"/>
  <c r="E918" i="46"/>
  <c r="D918" i="46"/>
  <c r="C918" i="46"/>
  <c r="E917" i="46"/>
  <c r="D917" i="46"/>
  <c r="C917" i="46"/>
  <c r="E916" i="46"/>
  <c r="D916" i="46"/>
  <c r="C916" i="46"/>
  <c r="E915" i="46"/>
  <c r="D915" i="46"/>
  <c r="C915" i="46"/>
  <c r="E914" i="46"/>
  <c r="D914" i="46"/>
  <c r="D921" i="46" s="1"/>
  <c r="C914" i="46"/>
  <c r="E913" i="46"/>
  <c r="D913" i="46"/>
  <c r="C913" i="46"/>
  <c r="C921" i="46" s="1"/>
  <c r="E912" i="46"/>
  <c r="D912" i="46"/>
  <c r="C912" i="46"/>
  <c r="C872" i="46"/>
  <c r="H871" i="46"/>
  <c r="H870" i="46"/>
  <c r="J869" i="46"/>
  <c r="I869" i="46"/>
  <c r="H869" i="46"/>
  <c r="G869" i="46"/>
  <c r="F869" i="46"/>
  <c r="E869" i="46"/>
  <c r="D869" i="46"/>
  <c r="C869" i="46"/>
  <c r="H868" i="46"/>
  <c r="C868" i="46"/>
  <c r="K867" i="46"/>
  <c r="J867" i="46"/>
  <c r="H866" i="46"/>
  <c r="K865" i="46"/>
  <c r="K864" i="46"/>
  <c r="H864" i="46"/>
  <c r="K863" i="46"/>
  <c r="J863" i="46"/>
  <c r="H863" i="46"/>
  <c r="C863" i="46"/>
  <c r="K862" i="46"/>
  <c r="H862" i="46"/>
  <c r="K861" i="46"/>
  <c r="J861" i="46"/>
  <c r="I861" i="46"/>
  <c r="H861" i="46"/>
  <c r="H873" i="46" s="1"/>
  <c r="G861" i="46"/>
  <c r="F861" i="46"/>
  <c r="E861" i="46"/>
  <c r="D861" i="46"/>
  <c r="C861" i="46"/>
  <c r="H860" i="46"/>
  <c r="K859" i="46"/>
  <c r="J859" i="46"/>
  <c r="J873" i="46" s="1"/>
  <c r="I859" i="46"/>
  <c r="H859" i="46"/>
  <c r="G859" i="46"/>
  <c r="F859" i="46"/>
  <c r="F873" i="46" s="1"/>
  <c r="E859" i="46"/>
  <c r="D859" i="46"/>
  <c r="C859" i="46"/>
  <c r="C745" i="46"/>
  <c r="L745" i="46" s="1"/>
  <c r="H744" i="46"/>
  <c r="H743" i="46"/>
  <c r="J742" i="46"/>
  <c r="I742" i="46"/>
  <c r="I746" i="46" s="1"/>
  <c r="H742" i="46"/>
  <c r="G742" i="46"/>
  <c r="G746" i="46" s="1"/>
  <c r="F742" i="46"/>
  <c r="E742" i="46"/>
  <c r="E746" i="46" s="1"/>
  <c r="D742" i="46"/>
  <c r="C742" i="46"/>
  <c r="H741" i="46"/>
  <c r="C741" i="46"/>
  <c r="K740" i="46"/>
  <c r="J740" i="46"/>
  <c r="H739" i="46"/>
  <c r="K738" i="46"/>
  <c r="L738" i="46" s="1"/>
  <c r="K737" i="46"/>
  <c r="H737" i="46"/>
  <c r="K736" i="46"/>
  <c r="J736" i="46"/>
  <c r="H736" i="46"/>
  <c r="C736" i="46"/>
  <c r="K735" i="46"/>
  <c r="H735" i="46"/>
  <c r="H746" i="46" s="1"/>
  <c r="K734" i="46"/>
  <c r="J734" i="46"/>
  <c r="I734" i="46"/>
  <c r="H734" i="46"/>
  <c r="G734" i="46"/>
  <c r="F734" i="46"/>
  <c r="E734" i="46"/>
  <c r="D734" i="46"/>
  <c r="L734" i="46" s="1"/>
  <c r="C734" i="46"/>
  <c r="H733" i="46"/>
  <c r="L733" i="46" s="1"/>
  <c r="K732" i="46"/>
  <c r="J732" i="46"/>
  <c r="I732" i="46"/>
  <c r="H732" i="46"/>
  <c r="G732" i="46"/>
  <c r="F732" i="46"/>
  <c r="F746" i="46" s="1"/>
  <c r="E732" i="46"/>
  <c r="D732" i="46"/>
  <c r="C732" i="46"/>
  <c r="E648" i="46"/>
  <c r="D648" i="46"/>
  <c r="C648" i="46"/>
  <c r="E646" i="46"/>
  <c r="D646" i="46"/>
  <c r="C646" i="46"/>
  <c r="E645" i="46"/>
  <c r="D645" i="46"/>
  <c r="C645" i="46"/>
  <c r="E644" i="46"/>
  <c r="D644" i="46"/>
  <c r="C644" i="46"/>
  <c r="E643" i="46"/>
  <c r="E649" i="46" s="1"/>
  <c r="D643" i="46"/>
  <c r="D649" i="46" s="1"/>
  <c r="C643" i="46"/>
  <c r="C649" i="46" s="1"/>
  <c r="E577" i="46"/>
  <c r="D577" i="46"/>
  <c r="C577" i="46"/>
  <c r="E576" i="46"/>
  <c r="D576" i="46"/>
  <c r="C576" i="46"/>
  <c r="E575" i="46"/>
  <c r="D575" i="46"/>
  <c r="C575" i="46"/>
  <c r="E574" i="46"/>
  <c r="D574" i="46"/>
  <c r="C574" i="46"/>
  <c r="E573" i="46"/>
  <c r="D573" i="46"/>
  <c r="C573" i="46"/>
  <c r="E572" i="46"/>
  <c r="D572" i="46"/>
  <c r="C572" i="46"/>
  <c r="E571" i="46"/>
  <c r="D571" i="46"/>
  <c r="C571" i="46"/>
  <c r="E570" i="46"/>
  <c r="E578" i="46" s="1"/>
  <c r="D570" i="46"/>
  <c r="C570" i="46"/>
  <c r="E569" i="46"/>
  <c r="D569" i="46"/>
  <c r="C569" i="46"/>
  <c r="E568" i="46"/>
  <c r="D568" i="46"/>
  <c r="C568" i="46"/>
  <c r="C578" i="46" s="1"/>
  <c r="E567" i="46"/>
  <c r="D567" i="46"/>
  <c r="C567" i="46"/>
  <c r="E566" i="46"/>
  <c r="D566" i="46"/>
  <c r="C566" i="46"/>
  <c r="E565" i="46"/>
  <c r="D565" i="46"/>
  <c r="D578" i="46" s="1"/>
  <c r="C565" i="46"/>
  <c r="E564" i="46"/>
  <c r="D564" i="46"/>
  <c r="C564" i="46"/>
  <c r="E458" i="46"/>
  <c r="D458" i="46"/>
  <c r="C458" i="46"/>
  <c r="E457" i="46"/>
  <c r="D457" i="46"/>
  <c r="C457" i="46"/>
  <c r="E456" i="46"/>
  <c r="D456" i="46"/>
  <c r="C456" i="46"/>
  <c r="E455" i="46"/>
  <c r="D455" i="46"/>
  <c r="C455" i="46"/>
  <c r="E454" i="46"/>
  <c r="D454" i="46"/>
  <c r="C454" i="46"/>
  <c r="E453" i="46"/>
  <c r="D453" i="46"/>
  <c r="C453" i="46"/>
  <c r="E452" i="46"/>
  <c r="D452" i="46"/>
  <c r="D459" i="46" s="1"/>
  <c r="C452" i="46"/>
  <c r="E451" i="46"/>
  <c r="D451" i="46"/>
  <c r="C451" i="46"/>
  <c r="C459" i="46" s="1"/>
  <c r="E450" i="46"/>
  <c r="D450" i="46"/>
  <c r="C450" i="46"/>
  <c r="H310" i="46"/>
  <c r="K310" i="46" s="1"/>
  <c r="F310" i="46"/>
  <c r="D414" i="46" s="1"/>
  <c r="E310" i="46"/>
  <c r="D310" i="46"/>
  <c r="G310" i="46" s="1"/>
  <c r="J310" i="46" s="1"/>
  <c r="C310" i="46"/>
  <c r="H309" i="46"/>
  <c r="G309" i="46"/>
  <c r="F309" i="46"/>
  <c r="I309" i="46" s="1"/>
  <c r="E412" i="46" s="1"/>
  <c r="E309" i="46"/>
  <c r="D309" i="46"/>
  <c r="J309" i="46" s="1"/>
  <c r="C309" i="46"/>
  <c r="H308" i="46"/>
  <c r="G308" i="46"/>
  <c r="F308" i="46"/>
  <c r="E308" i="46"/>
  <c r="D308" i="46"/>
  <c r="J308" i="46" s="1"/>
  <c r="C308" i="46"/>
  <c r="H307" i="46"/>
  <c r="G307" i="46"/>
  <c r="F307" i="46"/>
  <c r="D408" i="46" s="1"/>
  <c r="E307" i="46"/>
  <c r="D307" i="46"/>
  <c r="J307" i="46" s="1"/>
  <c r="C307" i="46"/>
  <c r="H306" i="46"/>
  <c r="K306" i="46" s="1"/>
  <c r="G306" i="46"/>
  <c r="F306" i="46"/>
  <c r="D406" i="46" s="1"/>
  <c r="E306" i="46"/>
  <c r="D306" i="46"/>
  <c r="J306" i="46" s="1"/>
  <c r="C306" i="46"/>
  <c r="H305" i="46"/>
  <c r="H311" i="46" s="1"/>
  <c r="G305" i="46"/>
  <c r="F305" i="46"/>
  <c r="F311" i="46" s="1"/>
  <c r="E305" i="46"/>
  <c r="D305" i="46"/>
  <c r="D311" i="46" s="1"/>
  <c r="C305" i="46"/>
  <c r="E116" i="46"/>
  <c r="D116" i="46"/>
  <c r="C116" i="46"/>
  <c r="E115" i="46"/>
  <c r="D115" i="46"/>
  <c r="C115" i="46"/>
  <c r="E114" i="46"/>
  <c r="E127" i="46" s="1"/>
  <c r="D114" i="46"/>
  <c r="C114" i="46"/>
  <c r="E113" i="46"/>
  <c r="D113" i="46"/>
  <c r="D121" i="46" s="1"/>
  <c r="C113" i="46"/>
  <c r="E112" i="46"/>
  <c r="E119" i="46" s="1"/>
  <c r="D112" i="46"/>
  <c r="C112" i="46"/>
  <c r="E111" i="46"/>
  <c r="D111" i="46"/>
  <c r="C111" i="46"/>
  <c r="E110" i="46"/>
  <c r="D110" i="46"/>
  <c r="C110" i="46"/>
  <c r="C122" i="46" s="1"/>
  <c r="E109" i="46"/>
  <c r="D109" i="46"/>
  <c r="D122" i="46" s="1"/>
  <c r="C109" i="46"/>
  <c r="E108" i="46"/>
  <c r="D108" i="46"/>
  <c r="C108" i="46"/>
  <c r="E107" i="46"/>
  <c r="D107" i="46"/>
  <c r="C107" i="46"/>
  <c r="E106" i="46"/>
  <c r="D106" i="46"/>
  <c r="C106" i="46"/>
  <c r="E105" i="46"/>
  <c r="D105" i="46"/>
  <c r="C105" i="46"/>
  <c r="E104" i="46"/>
  <c r="E118" i="46" s="1"/>
  <c r="D104" i="46"/>
  <c r="C104" i="46"/>
  <c r="C123" i="46" s="1"/>
  <c r="E103" i="46"/>
  <c r="D103" i="46"/>
  <c r="C103" i="46"/>
  <c r="E102" i="46"/>
  <c r="D102" i="46"/>
  <c r="C102" i="46"/>
  <c r="C117" i="46" s="1"/>
  <c r="E62" i="46"/>
  <c r="D62" i="46"/>
  <c r="C62" i="46"/>
  <c r="E61" i="46"/>
  <c r="D61" i="46"/>
  <c r="C61" i="46"/>
  <c r="D1179" i="46"/>
  <c r="D1128" i="46"/>
  <c r="D1079" i="46"/>
  <c r="E921" i="46"/>
  <c r="I873" i="46"/>
  <c r="G873" i="46"/>
  <c r="K873" i="46"/>
  <c r="E873" i="46"/>
  <c r="D873" i="46"/>
  <c r="C873" i="46"/>
  <c r="L744" i="46"/>
  <c r="L743" i="46"/>
  <c r="L742" i="46"/>
  <c r="L741" i="46"/>
  <c r="L740" i="46"/>
  <c r="L739" i="46"/>
  <c r="L737" i="46"/>
  <c r="L736" i="46"/>
  <c r="K746" i="46"/>
  <c r="C746" i="46"/>
  <c r="J746" i="46"/>
  <c r="D746" i="46"/>
  <c r="E459" i="46"/>
  <c r="E415" i="46"/>
  <c r="D415" i="46"/>
  <c r="E413" i="46"/>
  <c r="D413" i="46"/>
  <c r="E411" i="46"/>
  <c r="D411" i="46"/>
  <c r="D410" i="46"/>
  <c r="E409" i="46"/>
  <c r="D409" i="46"/>
  <c r="E407" i="46"/>
  <c r="D407" i="46"/>
  <c r="E405" i="46"/>
  <c r="D405" i="46"/>
  <c r="G311" i="46"/>
  <c r="K309" i="46"/>
  <c r="I308" i="46"/>
  <c r="E410" i="46" s="1"/>
  <c r="K307" i="46"/>
  <c r="I306" i="46"/>
  <c r="E406" i="46" s="1"/>
  <c r="E311" i="46"/>
  <c r="C311" i="46"/>
  <c r="E120" i="46"/>
  <c r="D120" i="46"/>
  <c r="C120" i="46"/>
  <c r="E124" i="46"/>
  <c r="E125" i="46" s="1"/>
  <c r="E121" i="46"/>
  <c r="C121" i="46"/>
  <c r="D125" i="46"/>
  <c r="D119" i="46"/>
  <c r="E122" i="46"/>
  <c r="D117" i="46"/>
  <c r="D124" i="46"/>
  <c r="D127" i="46" s="1"/>
  <c r="E123" i="46" l="1"/>
  <c r="E126" i="46"/>
  <c r="I307" i="46"/>
  <c r="E408" i="46" s="1"/>
  <c r="D412" i="46"/>
  <c r="L735" i="46"/>
  <c r="D404" i="46"/>
  <c r="L746" i="46"/>
  <c r="D118" i="46"/>
  <c r="K308" i="46"/>
  <c r="C124" i="46"/>
  <c r="C126" i="46" s="1"/>
  <c r="C118" i="46"/>
  <c r="D126" i="46"/>
  <c r="I310" i="46"/>
  <c r="E414" i="46" s="1"/>
  <c r="C119" i="46"/>
  <c r="L732" i="46"/>
  <c r="E117" i="46"/>
  <c r="I305" i="46"/>
  <c r="D123" i="46"/>
  <c r="J305" i="46"/>
  <c r="J311" i="46" s="1"/>
  <c r="K305" i="46"/>
  <c r="AE14" i="23"/>
  <c r="AE14" i="25"/>
  <c r="P76" i="23"/>
  <c r="P75" i="23"/>
  <c r="F75" i="23"/>
  <c r="F76" i="23"/>
  <c r="D80" i="23"/>
  <c r="F80" i="23"/>
  <c r="H79" i="23"/>
  <c r="G79" i="23"/>
  <c r="C127" i="46" l="1"/>
  <c r="C125" i="46"/>
  <c r="K311" i="46"/>
  <c r="E404" i="46"/>
  <c r="I311" i="46"/>
  <c r="W84" i="23"/>
  <c r="V84" i="23"/>
  <c r="U84" i="23"/>
  <c r="T84" i="23"/>
  <c r="S84" i="23"/>
  <c r="R84" i="23"/>
  <c r="Q84" i="23"/>
  <c r="O84" i="23"/>
  <c r="N84" i="23"/>
  <c r="M84" i="23"/>
  <c r="L84" i="23"/>
  <c r="K84" i="23"/>
  <c r="J84" i="23"/>
  <c r="W84" i="25"/>
  <c r="V84" i="25"/>
  <c r="U84" i="25"/>
  <c r="T84" i="25"/>
  <c r="S84" i="25"/>
  <c r="R84" i="25"/>
  <c r="Q84" i="25"/>
  <c r="P84" i="25"/>
  <c r="O84" i="25"/>
  <c r="N84" i="25"/>
  <c r="M84" i="25"/>
  <c r="L84" i="25"/>
  <c r="K84" i="25"/>
  <c r="J84" i="25"/>
  <c r="H2" i="45"/>
  <c r="H3" i="45"/>
  <c r="E103" i="23"/>
  <c r="E103" i="25"/>
  <c r="J27" i="23" l="1"/>
  <c r="J27" i="25"/>
  <c r="W81" i="23" l="1"/>
  <c r="V81" i="23"/>
  <c r="U81" i="23"/>
  <c r="T81" i="23"/>
  <c r="O81" i="23"/>
  <c r="M81" i="23"/>
  <c r="K81" i="23"/>
  <c r="H81" i="23"/>
  <c r="C81" i="23"/>
  <c r="B81" i="23"/>
  <c r="X80" i="23"/>
  <c r="AQ80" i="23" s="1"/>
  <c r="AH80" i="23" s="1"/>
  <c r="G81" i="23"/>
  <c r="AD78" i="23"/>
  <c r="F78" i="23"/>
  <c r="X78" i="23" s="1"/>
  <c r="AQ78" i="23" s="1"/>
  <c r="AH78" i="23" s="1"/>
  <c r="X77" i="23"/>
  <c r="AP77" i="23" s="1"/>
  <c r="AH77" i="23" s="1"/>
  <c r="X76" i="23"/>
  <c r="AQ76" i="23" s="1"/>
  <c r="AH76" i="23" s="1"/>
  <c r="X75" i="23"/>
  <c r="AQ75" i="23" s="1"/>
  <c r="AH75" i="23" s="1"/>
  <c r="P74" i="23"/>
  <c r="F74" i="23"/>
  <c r="X74" i="23" s="1"/>
  <c r="AQ74" i="23" s="1"/>
  <c r="AH74" i="23" s="1"/>
  <c r="P73" i="23"/>
  <c r="X73" i="23" s="1"/>
  <c r="AQ73" i="23" s="1"/>
  <c r="AH73" i="23" s="1"/>
  <c r="F73" i="23"/>
  <c r="F81" i="23" s="1"/>
  <c r="P72" i="23"/>
  <c r="P81" i="23" s="1"/>
  <c r="P84" i="23" s="1"/>
  <c r="H72" i="23"/>
  <c r="X71" i="23"/>
  <c r="AN70" i="23"/>
  <c r="AH70" i="23" s="1"/>
  <c r="X70" i="23"/>
  <c r="AN69" i="23"/>
  <c r="AH69" i="23" s="1"/>
  <c r="AD69" i="23"/>
  <c r="X69" i="23"/>
  <c r="AH68" i="23"/>
  <c r="AD68" i="23"/>
  <c r="X68" i="23"/>
  <c r="AH67" i="23"/>
  <c r="AF67" i="23"/>
  <c r="X67" i="23"/>
  <c r="AD67" i="23" s="1"/>
  <c r="AH66" i="23"/>
  <c r="AF66" i="23"/>
  <c r="AD66" i="23"/>
  <c r="X66" i="23"/>
  <c r="AH65" i="23"/>
  <c r="AF65" i="23"/>
  <c r="X65" i="23"/>
  <c r="AD65" i="23" s="1"/>
  <c r="AH64" i="23"/>
  <c r="AF64" i="23"/>
  <c r="AD64" i="23"/>
  <c r="X64" i="23"/>
  <c r="AH63" i="23"/>
  <c r="AF63" i="23"/>
  <c r="AF71" i="23" s="1"/>
  <c r="AG71" i="23" s="1"/>
  <c r="X63" i="23"/>
  <c r="AD63" i="23" s="1"/>
  <c r="X62" i="23"/>
  <c r="AH61" i="23"/>
  <c r="AF61" i="23"/>
  <c r="AD61" i="23"/>
  <c r="X61" i="23"/>
  <c r="AH60" i="23"/>
  <c r="AF60" i="23"/>
  <c r="X60" i="23"/>
  <c r="AF59" i="23"/>
  <c r="X59" i="23"/>
  <c r="AF58" i="23"/>
  <c r="AD58" i="23"/>
  <c r="X58" i="23"/>
  <c r="AF57" i="23"/>
  <c r="N57" i="23" s="1"/>
  <c r="X57" i="23" s="1"/>
  <c r="AD57" i="23"/>
  <c r="AH56" i="23"/>
  <c r="X56" i="23"/>
  <c r="AF56" i="23" s="1"/>
  <c r="AF62" i="23" s="1"/>
  <c r="AG62" i="23" s="1"/>
  <c r="R56" i="23"/>
  <c r="E56" i="23"/>
  <c r="X55" i="23"/>
  <c r="AH54" i="23"/>
  <c r="AF54" i="23"/>
  <c r="AD54" i="23"/>
  <c r="X54" i="23"/>
  <c r="AH53" i="23"/>
  <c r="AF53" i="23"/>
  <c r="AF55" i="23" s="1"/>
  <c r="AG55" i="23" s="1"/>
  <c r="X53" i="23"/>
  <c r="AD53" i="23" s="1"/>
  <c r="X52" i="23"/>
  <c r="AH51" i="23"/>
  <c r="AF51" i="23"/>
  <c r="AD51" i="23"/>
  <c r="X51" i="23"/>
  <c r="AH50" i="23"/>
  <c r="X50" i="23"/>
  <c r="AF50" i="23" s="1"/>
  <c r="AF49" i="23"/>
  <c r="AD49" i="23"/>
  <c r="AF48" i="23"/>
  <c r="N48" i="23" s="1"/>
  <c r="X48" i="23" s="1"/>
  <c r="AD48" i="23"/>
  <c r="AH47" i="23"/>
  <c r="AF47" i="23"/>
  <c r="AD47" i="23"/>
  <c r="X47" i="23"/>
  <c r="AH46" i="23"/>
  <c r="AF46" i="23"/>
  <c r="X46" i="23"/>
  <c r="AD46" i="23" s="1"/>
  <c r="AH45" i="23"/>
  <c r="AF45" i="23"/>
  <c r="AD45" i="23"/>
  <c r="X45" i="23"/>
  <c r="AH44" i="23"/>
  <c r="AF44" i="23"/>
  <c r="X44" i="23"/>
  <c r="AD44" i="23" s="1"/>
  <c r="X43" i="23"/>
  <c r="AH42" i="23"/>
  <c r="AF42" i="23"/>
  <c r="AD42" i="23"/>
  <c r="X42" i="23"/>
  <c r="AH41" i="23"/>
  <c r="X41" i="23"/>
  <c r="AD41" i="23" s="1"/>
  <c r="AH40" i="23"/>
  <c r="AF40" i="23"/>
  <c r="AD40" i="23"/>
  <c r="X40" i="23"/>
  <c r="X39" i="23"/>
  <c r="AF38" i="23"/>
  <c r="AD38" i="23"/>
  <c r="X38" i="23"/>
  <c r="AF37" i="23"/>
  <c r="N37" i="23" s="1"/>
  <c r="X37" i="23" s="1"/>
  <c r="AD37" i="23"/>
  <c r="AH36" i="23"/>
  <c r="AF36" i="23"/>
  <c r="X36" i="23"/>
  <c r="AH35" i="23"/>
  <c r="AF35" i="23"/>
  <c r="X35" i="23"/>
  <c r="AD35" i="23" s="1"/>
  <c r="AH34" i="23"/>
  <c r="AF34" i="23"/>
  <c r="AD34" i="23"/>
  <c r="X34" i="23"/>
  <c r="AH33" i="23"/>
  <c r="AF33" i="23"/>
  <c r="AF39" i="23" s="1"/>
  <c r="AG39" i="23" s="1"/>
  <c r="X33" i="23"/>
  <c r="AD33" i="23" s="1"/>
  <c r="AH32" i="23"/>
  <c r="AF32" i="23"/>
  <c r="AD32" i="23"/>
  <c r="X32" i="23"/>
  <c r="X31" i="23"/>
  <c r="I31" i="23"/>
  <c r="AH30" i="23"/>
  <c r="AD30" i="23"/>
  <c r="X30" i="23"/>
  <c r="AH29" i="23"/>
  <c r="AD29" i="23"/>
  <c r="X29" i="23"/>
  <c r="AH28" i="23"/>
  <c r="J28" i="23"/>
  <c r="X28" i="23" s="1"/>
  <c r="AD28" i="23" s="1"/>
  <c r="AH27" i="23"/>
  <c r="X27" i="23"/>
  <c r="AD27" i="23" s="1"/>
  <c r="J81" i="23"/>
  <c r="AH26" i="23"/>
  <c r="AD26" i="23"/>
  <c r="X26" i="23"/>
  <c r="X25" i="23"/>
  <c r="AN25" i="23" s="1"/>
  <c r="AH25" i="23" s="1"/>
  <c r="AN24" i="23"/>
  <c r="AH24" i="23" s="1"/>
  <c r="X24" i="23"/>
  <c r="AN23" i="23"/>
  <c r="AH23" i="23" s="1"/>
  <c r="X23" i="23"/>
  <c r="X22" i="23"/>
  <c r="AI22" i="23" s="1"/>
  <c r="AH22" i="23" s="1"/>
  <c r="L22" i="23"/>
  <c r="L81" i="23" s="1"/>
  <c r="Q21" i="23"/>
  <c r="X21" i="23" s="1"/>
  <c r="AI21" i="23" s="1"/>
  <c r="AH21" i="23" s="1"/>
  <c r="X20" i="23"/>
  <c r="AI20" i="23" s="1"/>
  <c r="AH20" i="23" s="1"/>
  <c r="R20" i="23"/>
  <c r="R81" i="23" s="1"/>
  <c r="X18" i="23"/>
  <c r="AI18" i="23" s="1"/>
  <c r="AH18" i="23" s="1"/>
  <c r="I18" i="23"/>
  <c r="I81" i="23" s="1"/>
  <c r="AN16" i="23"/>
  <c r="AM16" i="23"/>
  <c r="AL16" i="23"/>
  <c r="AK16" i="23"/>
  <c r="AJ16" i="23"/>
  <c r="X16" i="23"/>
  <c r="AI16" i="23" s="1"/>
  <c r="AH15" i="23"/>
  <c r="AQ13" i="23"/>
  <c r="AH13" i="23"/>
  <c r="AE13" i="23" s="1"/>
  <c r="AD13" i="23" s="1"/>
  <c r="X13" i="23"/>
  <c r="AH12" i="23"/>
  <c r="AE12" i="23"/>
  <c r="AD12" i="23"/>
  <c r="X12" i="23"/>
  <c r="AH11" i="23"/>
  <c r="AE11" i="23" s="1"/>
  <c r="AD11" i="23" s="1"/>
  <c r="X11" i="23"/>
  <c r="AI10" i="23"/>
  <c r="AH10" i="23"/>
  <c r="AE10" i="23"/>
  <c r="AD10" i="23" s="1"/>
  <c r="X10" i="23"/>
  <c r="AH9" i="23"/>
  <c r="AE9" i="23" s="1"/>
  <c r="AD9" i="23" s="1"/>
  <c r="X9" i="23"/>
  <c r="AH8" i="23"/>
  <c r="AE8" i="23"/>
  <c r="AD8" i="23" s="1"/>
  <c r="X8" i="23"/>
  <c r="AD78" i="25"/>
  <c r="AD69" i="25"/>
  <c r="AD68" i="25"/>
  <c r="AD67" i="25"/>
  <c r="AD66" i="25"/>
  <c r="AD65" i="25"/>
  <c r="AD64" i="25"/>
  <c r="AD63" i="25"/>
  <c r="AD61" i="25"/>
  <c r="AD58" i="25"/>
  <c r="AD57" i="25"/>
  <c r="AD54" i="25"/>
  <c r="AD53" i="25"/>
  <c r="AD51" i="25"/>
  <c r="AD49" i="25"/>
  <c r="AD48" i="25"/>
  <c r="AD47" i="25"/>
  <c r="AD46" i="25"/>
  <c r="AD45" i="25"/>
  <c r="AD44" i="25"/>
  <c r="AD42" i="25"/>
  <c r="AD41" i="25"/>
  <c r="AD40" i="25"/>
  <c r="AD38" i="25"/>
  <c r="AD37" i="25"/>
  <c r="AD35" i="25"/>
  <c r="AD34" i="25"/>
  <c r="AD33" i="25"/>
  <c r="AD32" i="25"/>
  <c r="AD30" i="25"/>
  <c r="AD29" i="25"/>
  <c r="AD28" i="25"/>
  <c r="AD26" i="25"/>
  <c r="L22" i="25"/>
  <c r="E56" i="25"/>
  <c r="R56" i="25"/>
  <c r="D80" i="25"/>
  <c r="F80" i="25"/>
  <c r="H79" i="25"/>
  <c r="G79" i="25"/>
  <c r="P76" i="25"/>
  <c r="F76" i="25"/>
  <c r="F76" i="27"/>
  <c r="P75" i="25"/>
  <c r="F75" i="25"/>
  <c r="P74" i="25"/>
  <c r="F74" i="25"/>
  <c r="P73" i="25"/>
  <c r="F73" i="25"/>
  <c r="P72" i="25"/>
  <c r="H72" i="25"/>
  <c r="AI21" i="25"/>
  <c r="AI20" i="25"/>
  <c r="AI18" i="25"/>
  <c r="I31" i="25"/>
  <c r="W86" i="27"/>
  <c r="V86" i="27"/>
  <c r="U86" i="27"/>
  <c r="T86" i="27"/>
  <c r="S86" i="27"/>
  <c r="R86" i="27"/>
  <c r="Q86" i="27"/>
  <c r="P86" i="27"/>
  <c r="O86" i="27"/>
  <c r="N86" i="27"/>
  <c r="M86" i="27"/>
  <c r="L86" i="27"/>
  <c r="K86" i="27"/>
  <c r="J86" i="27"/>
  <c r="I86" i="27"/>
  <c r="H86" i="27"/>
  <c r="G86" i="27"/>
  <c r="F86" i="27"/>
  <c r="E86" i="27"/>
  <c r="D86" i="27"/>
  <c r="C86" i="27"/>
  <c r="B86" i="27"/>
  <c r="W84" i="27"/>
  <c r="V84" i="27"/>
  <c r="U84" i="27"/>
  <c r="T84" i="27"/>
  <c r="S84" i="27"/>
  <c r="N84" i="27"/>
  <c r="M84" i="27"/>
  <c r="L84" i="27"/>
  <c r="K84" i="27"/>
  <c r="J84" i="27"/>
  <c r="X83" i="27"/>
  <c r="U82" i="27"/>
  <c r="R82" i="27"/>
  <c r="Q82" i="27"/>
  <c r="M82" i="27"/>
  <c r="J82" i="27"/>
  <c r="E82" i="27"/>
  <c r="B82" i="27"/>
  <c r="W81" i="27"/>
  <c r="W82" i="27" s="1"/>
  <c r="V81" i="27"/>
  <c r="V82" i="27" s="1"/>
  <c r="U81" i="27"/>
  <c r="T81" i="27"/>
  <c r="T82" i="27" s="1"/>
  <c r="S81" i="27"/>
  <c r="S82" i="27" s="1"/>
  <c r="R81" i="27"/>
  <c r="R84" i="27" s="1"/>
  <c r="Q81" i="27"/>
  <c r="Q84" i="27" s="1"/>
  <c r="O81" i="27"/>
  <c r="O82" i="27" s="1"/>
  <c r="M81" i="27"/>
  <c r="L81" i="27"/>
  <c r="L82" i="27" s="1"/>
  <c r="K81" i="27"/>
  <c r="K82" i="27" s="1"/>
  <c r="J81" i="27"/>
  <c r="H81" i="27"/>
  <c r="H82" i="27" s="1"/>
  <c r="G81" i="27"/>
  <c r="G82" i="27" s="1"/>
  <c r="E81" i="27"/>
  <c r="D81" i="27"/>
  <c r="D82" i="27" s="1"/>
  <c r="C81" i="27"/>
  <c r="C82" i="27" s="1"/>
  <c r="B81" i="27"/>
  <c r="AQ80" i="27"/>
  <c r="AH80" i="27"/>
  <c r="X80" i="27"/>
  <c r="X79" i="27"/>
  <c r="AQ79" i="27" s="1"/>
  <c r="AH79" i="27" s="1"/>
  <c r="AD78" i="27"/>
  <c r="X78" i="27"/>
  <c r="AQ78" i="27" s="1"/>
  <c r="AH78" i="27" s="1"/>
  <c r="X77" i="27"/>
  <c r="AP77" i="27" s="1"/>
  <c r="AH77" i="27" s="1"/>
  <c r="P76" i="27"/>
  <c r="P81" i="27" s="1"/>
  <c r="X76" i="27"/>
  <c r="AQ76" i="27" s="1"/>
  <c r="AH76" i="27" s="1"/>
  <c r="P75" i="27"/>
  <c r="X75" i="27" s="1"/>
  <c r="AQ75" i="27" s="1"/>
  <c r="AH75" i="27" s="1"/>
  <c r="F75" i="27"/>
  <c r="X74" i="27"/>
  <c r="AQ74" i="27" s="1"/>
  <c r="AH74" i="27" s="1"/>
  <c r="P74" i="27"/>
  <c r="F74" i="27"/>
  <c r="P73" i="27"/>
  <c r="F73" i="27"/>
  <c r="F81" i="27" s="1"/>
  <c r="F82" i="27" s="1"/>
  <c r="P72" i="27"/>
  <c r="H72" i="27"/>
  <c r="X72" i="27" s="1"/>
  <c r="AQ72" i="27" s="1"/>
  <c r="X71" i="27"/>
  <c r="AN70" i="27"/>
  <c r="AH70" i="27" s="1"/>
  <c r="X70" i="27"/>
  <c r="AN69" i="27"/>
  <c r="AH69" i="27"/>
  <c r="AD69" i="27"/>
  <c r="X69" i="27"/>
  <c r="AH68" i="27"/>
  <c r="AD68" i="27"/>
  <c r="X68" i="27"/>
  <c r="AH67" i="27"/>
  <c r="AF67" i="27"/>
  <c r="AD67" i="27"/>
  <c r="X67" i="27"/>
  <c r="AH66" i="27"/>
  <c r="AF66" i="27"/>
  <c r="AD66" i="27"/>
  <c r="X66" i="27"/>
  <c r="AH65" i="27"/>
  <c r="AF65" i="27"/>
  <c r="AD65" i="27"/>
  <c r="X65" i="27"/>
  <c r="AH64" i="27"/>
  <c r="AF64" i="27"/>
  <c r="AD64" i="27"/>
  <c r="X64" i="27"/>
  <c r="AH63" i="27"/>
  <c r="AF63" i="27"/>
  <c r="AF71" i="27" s="1"/>
  <c r="AG71" i="27" s="1"/>
  <c r="AD63" i="27"/>
  <c r="X63" i="27"/>
  <c r="X62" i="27"/>
  <c r="AH61" i="27"/>
  <c r="X61" i="27"/>
  <c r="AF61" i="27" s="1"/>
  <c r="AH60" i="27"/>
  <c r="X60" i="27"/>
  <c r="AF60" i="27" s="1"/>
  <c r="AF59" i="27"/>
  <c r="X59" i="27"/>
  <c r="AF58" i="27"/>
  <c r="AD58" i="27"/>
  <c r="X58" i="27"/>
  <c r="AF57" i="27"/>
  <c r="AD57" i="27"/>
  <c r="N57" i="27"/>
  <c r="X57" i="27" s="1"/>
  <c r="AH56" i="27"/>
  <c r="X56" i="27"/>
  <c r="AF56" i="27" s="1"/>
  <c r="X55" i="27"/>
  <c r="AH54" i="27"/>
  <c r="AF54" i="27"/>
  <c r="X54" i="27"/>
  <c r="AD54" i="27" s="1"/>
  <c r="AH53" i="27"/>
  <c r="AF53" i="27"/>
  <c r="AF55" i="27" s="1"/>
  <c r="AG55" i="27" s="1"/>
  <c r="AD53" i="27"/>
  <c r="X53" i="27"/>
  <c r="X52" i="27"/>
  <c r="AH51" i="27"/>
  <c r="AF51" i="27"/>
  <c r="AD51" i="27"/>
  <c r="X51" i="27"/>
  <c r="AH50" i="27"/>
  <c r="X50" i="27"/>
  <c r="AF50" i="27" s="1"/>
  <c r="AF49" i="27"/>
  <c r="AD49" i="27"/>
  <c r="AF48" i="27"/>
  <c r="N48" i="27" s="1"/>
  <c r="X48" i="27" s="1"/>
  <c r="AD48" i="27"/>
  <c r="AH47" i="27"/>
  <c r="AF47" i="27"/>
  <c r="X47" i="27"/>
  <c r="AD47" i="27" s="1"/>
  <c r="AH46" i="27"/>
  <c r="AF46" i="27"/>
  <c r="AD46" i="27"/>
  <c r="X46" i="27"/>
  <c r="AH45" i="27"/>
  <c r="AF45" i="27"/>
  <c r="X45" i="27"/>
  <c r="AD45" i="27" s="1"/>
  <c r="AH44" i="27"/>
  <c r="AF44" i="27"/>
  <c r="AD44" i="27"/>
  <c r="X44" i="27"/>
  <c r="AF43" i="27"/>
  <c r="AG43" i="27" s="1"/>
  <c r="X43" i="27"/>
  <c r="AH42" i="27"/>
  <c r="AF42" i="27"/>
  <c r="AD42" i="27"/>
  <c r="X42" i="27"/>
  <c r="AH41" i="27"/>
  <c r="AF41" i="27"/>
  <c r="AD41" i="27"/>
  <c r="X41" i="27"/>
  <c r="AH40" i="27"/>
  <c r="AF40" i="27"/>
  <c r="AD40" i="27"/>
  <c r="X40" i="27"/>
  <c r="X39" i="27"/>
  <c r="AF38" i="27"/>
  <c r="AD38" i="27"/>
  <c r="X38" i="27"/>
  <c r="AF37" i="27"/>
  <c r="AD37" i="27"/>
  <c r="N37" i="27"/>
  <c r="X37" i="27" s="1"/>
  <c r="AH36" i="27"/>
  <c r="X36" i="27"/>
  <c r="AF36" i="27" s="1"/>
  <c r="AH35" i="27"/>
  <c r="AF35" i="27"/>
  <c r="AD35" i="27"/>
  <c r="X35" i="27"/>
  <c r="AH34" i="27"/>
  <c r="AF34" i="27"/>
  <c r="AF39" i="27" s="1"/>
  <c r="AG39" i="27" s="1"/>
  <c r="X34" i="27"/>
  <c r="AD34" i="27" s="1"/>
  <c r="AH33" i="27"/>
  <c r="AF33" i="27"/>
  <c r="AD33" i="27"/>
  <c r="X33" i="27"/>
  <c r="AH32" i="27"/>
  <c r="AF32" i="27"/>
  <c r="X32" i="27"/>
  <c r="AD32" i="27" s="1"/>
  <c r="I31" i="27"/>
  <c r="X31" i="27" s="1"/>
  <c r="AH30" i="27"/>
  <c r="X30" i="27"/>
  <c r="AD30" i="27" s="1"/>
  <c r="AH29" i="27"/>
  <c r="X29" i="27"/>
  <c r="AD29" i="27" s="1"/>
  <c r="AH28" i="27"/>
  <c r="AD28" i="27"/>
  <c r="X28" i="27"/>
  <c r="AH27" i="27"/>
  <c r="X27" i="27"/>
  <c r="AD27" i="27" s="1"/>
  <c r="AH26" i="27"/>
  <c r="X26" i="27"/>
  <c r="AD26" i="27" s="1"/>
  <c r="AN25" i="27"/>
  <c r="AH25" i="27" s="1"/>
  <c r="X25" i="27"/>
  <c r="AN24" i="27"/>
  <c r="AH24" i="27"/>
  <c r="X24" i="27"/>
  <c r="X23" i="27"/>
  <c r="AN23" i="27" s="1"/>
  <c r="AH23" i="27" s="1"/>
  <c r="X22" i="27"/>
  <c r="AI22" i="27" s="1"/>
  <c r="AH22" i="27" s="1"/>
  <c r="AI21" i="27"/>
  <c r="AH21" i="27" s="1"/>
  <c r="X21" i="27"/>
  <c r="AI20" i="27"/>
  <c r="AH20" i="27"/>
  <c r="X20" i="27"/>
  <c r="X19" i="27"/>
  <c r="AI19" i="27" s="1"/>
  <c r="AH19" i="27" s="1"/>
  <c r="X18" i="27"/>
  <c r="AI18" i="27" s="1"/>
  <c r="AH18" i="27" s="1"/>
  <c r="AI17" i="27"/>
  <c r="AH17" i="27" s="1"/>
  <c r="X17" i="27"/>
  <c r="AN16" i="27"/>
  <c r="X16" i="27"/>
  <c r="AM16" i="27" s="1"/>
  <c r="AH15" i="27"/>
  <c r="AI14" i="27"/>
  <c r="AD14" i="27"/>
  <c r="AH13" i="27"/>
  <c r="AE13" i="27" s="1"/>
  <c r="AD13" i="27" s="1"/>
  <c r="X13" i="27"/>
  <c r="AH12" i="27"/>
  <c r="AE12" i="27" s="1"/>
  <c r="AD12" i="27" s="1"/>
  <c r="X12" i="27"/>
  <c r="AH11" i="27"/>
  <c r="AE11" i="27" s="1"/>
  <c r="AD11" i="27" s="1"/>
  <c r="X11" i="27"/>
  <c r="AH10" i="27"/>
  <c r="AE10" i="27" s="1"/>
  <c r="AD10" i="27" s="1"/>
  <c r="X10" i="27"/>
  <c r="AH9" i="27"/>
  <c r="AE9" i="27" s="1"/>
  <c r="AD9" i="27" s="1"/>
  <c r="X9" i="27"/>
  <c r="AH8" i="27"/>
  <c r="X8" i="27"/>
  <c r="W86" i="43"/>
  <c r="V86" i="43"/>
  <c r="U86" i="43"/>
  <c r="T86" i="43"/>
  <c r="S86" i="43"/>
  <c r="R86" i="43"/>
  <c r="Q86" i="43"/>
  <c r="P86" i="43"/>
  <c r="O86" i="43"/>
  <c r="N86" i="43"/>
  <c r="M86" i="43"/>
  <c r="L86" i="43"/>
  <c r="K86" i="43"/>
  <c r="J86" i="43"/>
  <c r="I86" i="43"/>
  <c r="H86" i="43"/>
  <c r="G86" i="43"/>
  <c r="F86" i="43"/>
  <c r="E86" i="43"/>
  <c r="D86" i="43"/>
  <c r="C86" i="43"/>
  <c r="B86" i="43"/>
  <c r="X84" i="43"/>
  <c r="W84" i="43"/>
  <c r="V84" i="43"/>
  <c r="U84" i="43"/>
  <c r="T84" i="43"/>
  <c r="S84" i="43"/>
  <c r="P84" i="43"/>
  <c r="N84" i="43"/>
  <c r="M84" i="43"/>
  <c r="L84" i="43"/>
  <c r="K84" i="43"/>
  <c r="J84" i="43"/>
  <c r="X83" i="43"/>
  <c r="T82" i="43"/>
  <c r="R82" i="43"/>
  <c r="P82" i="43"/>
  <c r="K82" i="43"/>
  <c r="I82" i="43"/>
  <c r="H82" i="43"/>
  <c r="C82" i="43"/>
  <c r="W81" i="43"/>
  <c r="W82" i="43" s="1"/>
  <c r="V81" i="43"/>
  <c r="V82" i="43" s="1"/>
  <c r="U81" i="43"/>
  <c r="U82" i="43" s="1"/>
  <c r="T81" i="43"/>
  <c r="S81" i="43"/>
  <c r="S82" i="43" s="1"/>
  <c r="R81" i="43"/>
  <c r="R84" i="43" s="1"/>
  <c r="Q81" i="43"/>
  <c r="Q82" i="43" s="1"/>
  <c r="P81" i="43"/>
  <c r="O81" i="43"/>
  <c r="O84" i="43" s="1"/>
  <c r="M81" i="43"/>
  <c r="M82" i="43" s="1"/>
  <c r="L81" i="43"/>
  <c r="L82" i="43" s="1"/>
  <c r="K81" i="43"/>
  <c r="J81" i="43"/>
  <c r="J82" i="43" s="1"/>
  <c r="I81" i="43"/>
  <c r="H81" i="43"/>
  <c r="G81" i="43"/>
  <c r="G82" i="43" s="1"/>
  <c r="F81" i="43"/>
  <c r="F82" i="43" s="1"/>
  <c r="E81" i="43"/>
  <c r="E82" i="43" s="1"/>
  <c r="D81" i="43"/>
  <c r="D82" i="43" s="1"/>
  <c r="C81" i="43"/>
  <c r="B81" i="43"/>
  <c r="B82" i="43" s="1"/>
  <c r="X80" i="43"/>
  <c r="AQ80" i="43" s="1"/>
  <c r="AH80" i="43" s="1"/>
  <c r="AQ79" i="43"/>
  <c r="AH79" i="43" s="1"/>
  <c r="X79" i="43"/>
  <c r="AD78" i="43"/>
  <c r="X78" i="43"/>
  <c r="AQ78" i="43" s="1"/>
  <c r="AH78" i="43" s="1"/>
  <c r="X77" i="43"/>
  <c r="AP77" i="43" s="1"/>
  <c r="AH77" i="43" s="1"/>
  <c r="X76" i="43"/>
  <c r="AQ76" i="43" s="1"/>
  <c r="AH76" i="43" s="1"/>
  <c r="X75" i="43"/>
  <c r="AQ75" i="43" s="1"/>
  <c r="AH75" i="43" s="1"/>
  <c r="AQ74" i="43"/>
  <c r="AH74" i="43" s="1"/>
  <c r="X74" i="43"/>
  <c r="AQ73" i="43"/>
  <c r="AH73" i="43"/>
  <c r="X73" i="43"/>
  <c r="AQ72" i="43"/>
  <c r="AH72" i="43" s="1"/>
  <c r="X72" i="43"/>
  <c r="AC71" i="43"/>
  <c r="X71" i="43"/>
  <c r="AN70" i="43"/>
  <c r="AH70" i="43"/>
  <c r="X70" i="43"/>
  <c r="AN69" i="43"/>
  <c r="AH69" i="43" s="1"/>
  <c r="AD69" i="43"/>
  <c r="X69" i="43"/>
  <c r="AH68" i="43"/>
  <c r="AD68" i="43"/>
  <c r="X68" i="43"/>
  <c r="AF68" i="43" s="1"/>
  <c r="AH67" i="43"/>
  <c r="AD67" i="43"/>
  <c r="X67" i="43"/>
  <c r="AF67" i="43" s="1"/>
  <c r="AH66" i="43"/>
  <c r="AD66" i="43"/>
  <c r="X66" i="43"/>
  <c r="AF66" i="43" s="1"/>
  <c r="AH65" i="43"/>
  <c r="AD65" i="43"/>
  <c r="X65" i="43"/>
  <c r="AF65" i="43" s="1"/>
  <c r="AH64" i="43"/>
  <c r="AD64" i="43"/>
  <c r="X64" i="43"/>
  <c r="AF64" i="43" s="1"/>
  <c r="AH63" i="43"/>
  <c r="AD63" i="43"/>
  <c r="X63" i="43"/>
  <c r="AF63" i="43" s="1"/>
  <c r="AF71" i="43" s="1"/>
  <c r="AG71" i="43" s="1"/>
  <c r="AC62" i="43"/>
  <c r="X62" i="43"/>
  <c r="AH61" i="43"/>
  <c r="AD61" i="43"/>
  <c r="X61" i="43"/>
  <c r="AF61" i="43" s="1"/>
  <c r="AH60" i="43"/>
  <c r="X60" i="43"/>
  <c r="AF60" i="43" s="1"/>
  <c r="X59" i="43"/>
  <c r="AF59" i="43" s="1"/>
  <c r="AF58" i="43"/>
  <c r="X58" i="43"/>
  <c r="AF57" i="43"/>
  <c r="AD57" i="43"/>
  <c r="X57" i="43"/>
  <c r="AH56" i="43"/>
  <c r="X56" i="43"/>
  <c r="AF56" i="43" s="1"/>
  <c r="AC55" i="43"/>
  <c r="X55" i="43"/>
  <c r="AH54" i="43"/>
  <c r="AF54" i="43"/>
  <c r="X54" i="43"/>
  <c r="AD54" i="43" s="1"/>
  <c r="AH53" i="43"/>
  <c r="X53" i="43"/>
  <c r="AF53" i="43" s="1"/>
  <c r="AF55" i="43" s="1"/>
  <c r="AG55" i="43" s="1"/>
  <c r="AC52" i="43"/>
  <c r="X52" i="43"/>
  <c r="AH51" i="43"/>
  <c r="X51" i="43"/>
  <c r="AF51" i="43" s="1"/>
  <c r="AH50" i="43"/>
  <c r="AF50" i="43"/>
  <c r="X50" i="43"/>
  <c r="AF49" i="43"/>
  <c r="AD49" i="43"/>
  <c r="X49" i="43"/>
  <c r="AF48" i="43"/>
  <c r="AD48" i="43"/>
  <c r="X48" i="43"/>
  <c r="AH47" i="43"/>
  <c r="AD47" i="43"/>
  <c r="X47" i="43"/>
  <c r="AF47" i="43" s="1"/>
  <c r="AH46" i="43"/>
  <c r="AF46" i="43"/>
  <c r="AD46" i="43"/>
  <c r="X46" i="43"/>
  <c r="AH45" i="43"/>
  <c r="AD45" i="43"/>
  <c r="X45" i="43"/>
  <c r="AF45" i="43" s="1"/>
  <c r="AH44" i="43"/>
  <c r="AF44" i="43"/>
  <c r="AD44" i="43"/>
  <c r="X44" i="43"/>
  <c r="AC43" i="43"/>
  <c r="X43" i="43"/>
  <c r="AH42" i="43"/>
  <c r="AF42" i="43"/>
  <c r="AD42" i="43"/>
  <c r="X42" i="43"/>
  <c r="AH41" i="43"/>
  <c r="AD41" i="43"/>
  <c r="X41" i="43"/>
  <c r="AF41" i="43" s="1"/>
  <c r="AH40" i="43"/>
  <c r="AF40" i="43"/>
  <c r="AD40" i="43"/>
  <c r="X40" i="43"/>
  <c r="AC39" i="43"/>
  <c r="X39" i="43"/>
  <c r="AF38" i="43"/>
  <c r="AD38" i="43"/>
  <c r="X38" i="43"/>
  <c r="AF37" i="43"/>
  <c r="AD37" i="43"/>
  <c r="X37" i="43"/>
  <c r="AH36" i="43"/>
  <c r="X36" i="43"/>
  <c r="AF36" i="43" s="1"/>
  <c r="AH35" i="43"/>
  <c r="X35" i="43"/>
  <c r="AF35" i="43" s="1"/>
  <c r="AH34" i="43"/>
  <c r="AF34" i="43"/>
  <c r="X34" i="43"/>
  <c r="AD34" i="43" s="1"/>
  <c r="AH33" i="43"/>
  <c r="X33" i="43"/>
  <c r="AF33" i="43" s="1"/>
  <c r="AH32" i="43"/>
  <c r="AF32" i="43"/>
  <c r="X32" i="43"/>
  <c r="AD32" i="43" s="1"/>
  <c r="X31" i="43"/>
  <c r="AH30" i="43"/>
  <c r="X30" i="43"/>
  <c r="AD30" i="43" s="1"/>
  <c r="AH29" i="43"/>
  <c r="AD29" i="43"/>
  <c r="X29" i="43"/>
  <c r="AH28" i="43"/>
  <c r="X28" i="43"/>
  <c r="AD28" i="43" s="1"/>
  <c r="AH27" i="43"/>
  <c r="AD27" i="43"/>
  <c r="X27" i="43"/>
  <c r="AH26" i="43"/>
  <c r="X26" i="43"/>
  <c r="AD26" i="43" s="1"/>
  <c r="AN25" i="43"/>
  <c r="AH25" i="43"/>
  <c r="X25" i="43"/>
  <c r="AN24" i="43"/>
  <c r="AH24" i="43" s="1"/>
  <c r="X24" i="43"/>
  <c r="X23" i="43"/>
  <c r="AN23" i="43" s="1"/>
  <c r="AH23" i="43" s="1"/>
  <c r="X22" i="43"/>
  <c r="AI22" i="43" s="1"/>
  <c r="AH22" i="43" s="1"/>
  <c r="X21" i="43"/>
  <c r="AI21" i="43" s="1"/>
  <c r="AH21" i="43" s="1"/>
  <c r="X20" i="43"/>
  <c r="AI20" i="43" s="1"/>
  <c r="AH20" i="43" s="1"/>
  <c r="X19" i="43"/>
  <c r="AI19" i="43" s="1"/>
  <c r="AH19" i="43" s="1"/>
  <c r="AI18" i="43"/>
  <c r="AH18" i="43" s="1"/>
  <c r="X18" i="43"/>
  <c r="AI17" i="43"/>
  <c r="AH17" i="43"/>
  <c r="X17" i="43"/>
  <c r="AQ16" i="43"/>
  <c r="AN16" i="43"/>
  <c r="AM16" i="43"/>
  <c r="AL16" i="43"/>
  <c r="AK16" i="43"/>
  <c r="AJ16" i="43"/>
  <c r="X16" i="43"/>
  <c r="AP16" i="43" s="1"/>
  <c r="AP81" i="43" s="1"/>
  <c r="AH15" i="43"/>
  <c r="AI14" i="43"/>
  <c r="AD14" i="43"/>
  <c r="AH13" i="43"/>
  <c r="AE13" i="43"/>
  <c r="AD13" i="43" s="1"/>
  <c r="X13" i="43"/>
  <c r="AH12" i="43"/>
  <c r="AE12" i="43"/>
  <c r="AD12" i="43" s="1"/>
  <c r="X12" i="43"/>
  <c r="AH11" i="43"/>
  <c r="AE11" i="43"/>
  <c r="AD11" i="43" s="1"/>
  <c r="X11" i="43"/>
  <c r="AH10" i="43"/>
  <c r="AE10" i="43"/>
  <c r="AD10" i="43" s="1"/>
  <c r="X10" i="43"/>
  <c r="AH9" i="43"/>
  <c r="AE9" i="43"/>
  <c r="AD9" i="43" s="1"/>
  <c r="X9" i="43"/>
  <c r="AH8" i="43"/>
  <c r="AE8" i="43"/>
  <c r="AD8" i="43" s="1"/>
  <c r="X8" i="43"/>
  <c r="AK39" i="23" l="1"/>
  <c r="AM39" i="23"/>
  <c r="AL39" i="23"/>
  <c r="AJ39" i="23"/>
  <c r="AI39" i="23"/>
  <c r="AO39" i="23"/>
  <c r="AN39" i="23"/>
  <c r="AH16" i="23"/>
  <c r="AI62" i="23"/>
  <c r="AJ62" i="23"/>
  <c r="AO62" i="23"/>
  <c r="AN62" i="23"/>
  <c r="AK62" i="23"/>
  <c r="AM62" i="23"/>
  <c r="AL62" i="23"/>
  <c r="AF52" i="23"/>
  <c r="AG52" i="23" s="1"/>
  <c r="AG81" i="23" s="1"/>
  <c r="AO71" i="23"/>
  <c r="AN71" i="23"/>
  <c r="AM71" i="23"/>
  <c r="AL71" i="23"/>
  <c r="AJ71" i="23"/>
  <c r="AK71" i="23"/>
  <c r="AI71" i="23"/>
  <c r="AH71" i="23" s="1"/>
  <c r="AI55" i="23"/>
  <c r="AH55" i="23" s="1"/>
  <c r="AK55" i="23"/>
  <c r="AJ55" i="23"/>
  <c r="AO55" i="23"/>
  <c r="AN55" i="23"/>
  <c r="AM55" i="23"/>
  <c r="AL55" i="23"/>
  <c r="X72" i="23"/>
  <c r="AQ72" i="23" s="1"/>
  <c r="AH72" i="23" s="1"/>
  <c r="AP16" i="23"/>
  <c r="AP81" i="23" s="1"/>
  <c r="AF41" i="23"/>
  <c r="AF43" i="23" s="1"/>
  <c r="AG43" i="23" s="1"/>
  <c r="X79" i="23"/>
  <c r="AQ79" i="23" s="1"/>
  <c r="AH79" i="23" s="1"/>
  <c r="Q81" i="23"/>
  <c r="D81" i="23"/>
  <c r="AM43" i="27"/>
  <c r="AJ43" i="27"/>
  <c r="AL43" i="27"/>
  <c r="AN43" i="27"/>
  <c r="AK43" i="27"/>
  <c r="AO43" i="27"/>
  <c r="AI43" i="27"/>
  <c r="AL39" i="27"/>
  <c r="AM39" i="27"/>
  <c r="AK39" i="27"/>
  <c r="AI39" i="27"/>
  <c r="AG81" i="27"/>
  <c r="AJ39" i="27"/>
  <c r="AN39" i="27"/>
  <c r="AO39" i="27"/>
  <c r="AJ55" i="27"/>
  <c r="AI55" i="27"/>
  <c r="AO55" i="27"/>
  <c r="AN55" i="27"/>
  <c r="AL55" i="27"/>
  <c r="AK55" i="27"/>
  <c r="AM55" i="27"/>
  <c r="AF81" i="27"/>
  <c r="AK71" i="27"/>
  <c r="AJ71" i="27"/>
  <c r="AI71" i="27"/>
  <c r="AL71" i="27"/>
  <c r="AO71" i="27"/>
  <c r="AM71" i="27"/>
  <c r="AN71" i="27"/>
  <c r="AF52" i="27"/>
  <c r="AG52" i="27" s="1"/>
  <c r="AH72" i="27"/>
  <c r="P82" i="27"/>
  <c r="P84" i="27"/>
  <c r="AF62" i="27"/>
  <c r="AG62" i="27" s="1"/>
  <c r="X84" i="27"/>
  <c r="AE8" i="27"/>
  <c r="I81" i="27"/>
  <c r="I82" i="27" s="1"/>
  <c r="AH14" i="27"/>
  <c r="N14" i="27" s="1"/>
  <c r="AI16" i="27"/>
  <c r="X73" i="27"/>
  <c r="AQ73" i="27" s="1"/>
  <c r="AH73" i="27" s="1"/>
  <c r="O84" i="27"/>
  <c r="AK16" i="27"/>
  <c r="AD61" i="27"/>
  <c r="AP16" i="27"/>
  <c r="AP81" i="27" s="1"/>
  <c r="AJ16" i="27"/>
  <c r="AL16" i="27"/>
  <c r="AF62" i="43"/>
  <c r="AG62" i="43" s="1"/>
  <c r="AI71" i="43"/>
  <c r="AO71" i="43"/>
  <c r="AN71" i="43"/>
  <c r="AJ71" i="43"/>
  <c r="AM71" i="43"/>
  <c r="AL71" i="43"/>
  <c r="AK71" i="43"/>
  <c r="AQ81" i="43"/>
  <c r="AI55" i="43"/>
  <c r="AO55" i="43"/>
  <c r="AN55" i="43"/>
  <c r="AM55" i="43"/>
  <c r="AJ55" i="43"/>
  <c r="AL55" i="43"/>
  <c r="AK55" i="43"/>
  <c r="AF39" i="43"/>
  <c r="AG39" i="43" s="1"/>
  <c r="AF52" i="43"/>
  <c r="AG52" i="43" s="1"/>
  <c r="AF43" i="43"/>
  <c r="AG43" i="43" s="1"/>
  <c r="AH14" i="43"/>
  <c r="N14" i="43" s="1"/>
  <c r="AI16" i="43"/>
  <c r="AH16" i="43" s="1"/>
  <c r="AD33" i="43"/>
  <c r="AD15" i="43" s="1"/>
  <c r="AD35" i="43"/>
  <c r="Q84" i="43"/>
  <c r="AD51" i="43"/>
  <c r="AD53" i="43"/>
  <c r="AE81" i="43"/>
  <c r="O82" i="43"/>
  <c r="AN81" i="23" l="1"/>
  <c r="AH39" i="23"/>
  <c r="AL43" i="23"/>
  <c r="AN43" i="23"/>
  <c r="AK43" i="23"/>
  <c r="AK81" i="23" s="1"/>
  <c r="AJ43" i="23"/>
  <c r="AJ81" i="23" s="1"/>
  <c r="AI43" i="23"/>
  <c r="AM43" i="23"/>
  <c r="AO43" i="23"/>
  <c r="AO81" i="23" s="1"/>
  <c r="AL52" i="23"/>
  <c r="AK52" i="23"/>
  <c r="AM52" i="23"/>
  <c r="AJ52" i="23"/>
  <c r="AI52" i="23"/>
  <c r="AH52" i="23" s="1"/>
  <c r="AN52" i="23"/>
  <c r="AO52" i="23"/>
  <c r="AQ81" i="23"/>
  <c r="AF81" i="23"/>
  <c r="AH62" i="23"/>
  <c r="AH16" i="27"/>
  <c r="AH43" i="27"/>
  <c r="AE81" i="27"/>
  <c r="AD8" i="27"/>
  <c r="AH71" i="27"/>
  <c r="AH39" i="27"/>
  <c r="N81" i="27"/>
  <c r="N82" i="27" s="1"/>
  <c r="X14" i="27"/>
  <c r="AQ81" i="27"/>
  <c r="AM62" i="27"/>
  <c r="AL62" i="27"/>
  <c r="AK62" i="27"/>
  <c r="AJ62" i="27"/>
  <c r="AI62" i="27"/>
  <c r="AN62" i="27"/>
  <c r="AO62" i="27"/>
  <c r="AN52" i="27"/>
  <c r="AN81" i="27" s="1"/>
  <c r="AM52" i="27"/>
  <c r="AM81" i="27" s="1"/>
  <c r="AL52" i="27"/>
  <c r="AL81" i="27" s="1"/>
  <c r="AO52" i="27"/>
  <c r="AO81" i="27" s="1"/>
  <c r="AK52" i="27"/>
  <c r="AK81" i="27" s="1"/>
  <c r="AJ52" i="27"/>
  <c r="AJ81" i="27" s="1"/>
  <c r="AI52" i="27"/>
  <c r="AH55" i="27"/>
  <c r="A15" i="43"/>
  <c r="Z83" i="43"/>
  <c r="AD81" i="43"/>
  <c r="N81" i="43"/>
  <c r="X14" i="43"/>
  <c r="AN43" i="43"/>
  <c r="AM43" i="43"/>
  <c r="AL43" i="43"/>
  <c r="AK43" i="43"/>
  <c r="AJ43" i="43"/>
  <c r="AO43" i="43"/>
  <c r="AI43" i="43"/>
  <c r="AF81" i="43"/>
  <c r="AM52" i="43"/>
  <c r="AL52" i="43"/>
  <c r="AK52" i="43"/>
  <c r="AN52" i="43"/>
  <c r="AJ52" i="43"/>
  <c r="AI52" i="43"/>
  <c r="AO52" i="43"/>
  <c r="AN39" i="43"/>
  <c r="AM39" i="43"/>
  <c r="AG81" i="43"/>
  <c r="AL39" i="43"/>
  <c r="AO39" i="43"/>
  <c r="AK39" i="43"/>
  <c r="AK81" i="43" s="1"/>
  <c r="AJ39" i="43"/>
  <c r="AI39" i="43"/>
  <c r="AH55" i="43"/>
  <c r="AH71" i="43"/>
  <c r="AI81" i="43"/>
  <c r="AL62" i="43"/>
  <c r="AK62" i="43"/>
  <c r="AJ62" i="43"/>
  <c r="AI62" i="43"/>
  <c r="AO62" i="43"/>
  <c r="AM62" i="43"/>
  <c r="AN62" i="43"/>
  <c r="AL81" i="23" l="1"/>
  <c r="AM81" i="23"/>
  <c r="AH43" i="23"/>
  <c r="AH81" i="27"/>
  <c r="AD15" i="27"/>
  <c r="AD81" i="27" s="1"/>
  <c r="AH52" i="27"/>
  <c r="AI81" i="27"/>
  <c r="AH62" i="27"/>
  <c r="AN81" i="43"/>
  <c r="AM81" i="43"/>
  <c r="AH39" i="43"/>
  <c r="AH43" i="43"/>
  <c r="AH62" i="43"/>
  <c r="AJ81" i="43"/>
  <c r="AH52" i="43"/>
  <c r="AO81" i="43"/>
  <c r="X15" i="43"/>
  <c r="X81" i="43" s="1"/>
  <c r="Z84" i="43" s="1"/>
  <c r="A81" i="43"/>
  <c r="A82" i="43" s="1"/>
  <c r="X82" i="43" s="1"/>
  <c r="Z82" i="43" s="1"/>
  <c r="AL81" i="43"/>
  <c r="A15" i="27" l="1"/>
  <c r="Z83" i="27"/>
  <c r="AH81" i="43"/>
  <c r="X15" i="27" l="1"/>
  <c r="X81" i="27" s="1"/>
  <c r="Z84" i="27" s="1"/>
  <c r="A81" i="27"/>
  <c r="A82" i="27" s="1"/>
  <c r="X82" i="27" s="1"/>
  <c r="Z82" i="27" s="1"/>
  <c r="J7" i="45" l="1"/>
  <c r="J6" i="45"/>
  <c r="H8" i="45"/>
  <c r="J8" i="45" l="1"/>
  <c r="E96" i="25" l="1"/>
  <c r="AF49" i="25"/>
  <c r="AF48" i="25"/>
  <c r="N48" i="25" s="1"/>
  <c r="AI10" i="25"/>
  <c r="X83" i="23" l="1"/>
  <c r="W82" i="23"/>
  <c r="K82" i="23"/>
  <c r="C82" i="23"/>
  <c r="V82" i="23"/>
  <c r="U82" i="23"/>
  <c r="M82" i="23"/>
  <c r="B82" i="23"/>
  <c r="G82" i="23"/>
  <c r="H82" i="23"/>
  <c r="T82" i="23"/>
  <c r="D82" i="23"/>
  <c r="R82" i="23"/>
  <c r="P82" i="23" l="1"/>
  <c r="X84" i="23"/>
  <c r="O82" i="23"/>
  <c r="J82" i="23"/>
  <c r="Q82" i="23"/>
  <c r="AF38" i="25" l="1"/>
  <c r="AF37" i="25"/>
  <c r="N37" i="25" s="1"/>
  <c r="J28" i="25"/>
  <c r="Q21" i="25"/>
  <c r="R20" i="25"/>
  <c r="D98" i="25"/>
  <c r="E6" i="45"/>
  <c r="E8" i="45"/>
  <c r="D8" i="45"/>
  <c r="K28" i="45"/>
  <c r="K29" i="45" s="1"/>
  <c r="H9" i="45"/>
  <c r="H15" i="45" s="1"/>
  <c r="D7" i="45" s="1"/>
  <c r="J9" i="45"/>
  <c r="H16" i="45" s="1"/>
  <c r="E7" i="45" s="1"/>
  <c r="E5" i="45" l="1"/>
  <c r="D5" i="45"/>
  <c r="C50" i="45" l="1"/>
  <c r="C51" i="45"/>
  <c r="E51" i="45"/>
  <c r="C52" i="45"/>
  <c r="B50" i="45"/>
  <c r="B51" i="45"/>
  <c r="B52" i="45"/>
  <c r="O114" i="23" l="1"/>
  <c r="O111" i="23" l="1"/>
  <c r="O115" i="23" s="1"/>
  <c r="O116" i="23" s="1"/>
  <c r="G102" i="25"/>
  <c r="G109" i="25" s="1"/>
  <c r="G109" i="23"/>
  <c r="G102" i="23"/>
  <c r="O119" i="23"/>
  <c r="O120" i="23" s="1"/>
  <c r="D112" i="23"/>
  <c r="E110" i="23"/>
  <c r="E111" i="23" s="1"/>
  <c r="D105" i="23"/>
  <c r="E104" i="23"/>
  <c r="E17" i="23" s="1"/>
  <c r="D98" i="23"/>
  <c r="E96" i="23"/>
  <c r="E97" i="23" s="1"/>
  <c r="E81" i="23" l="1"/>
  <c r="X17" i="23"/>
  <c r="AI17" i="23" s="1"/>
  <c r="AH17" i="23" s="1"/>
  <c r="I82" i="23"/>
  <c r="E82" i="23"/>
  <c r="F98" i="23"/>
  <c r="F99" i="23" s="1"/>
  <c r="G99" i="23" s="1"/>
  <c r="O122" i="23"/>
  <c r="O121" i="23"/>
  <c r="F112" i="23"/>
  <c r="G112" i="23" s="1"/>
  <c r="F105" i="23"/>
  <c r="G105" i="23" s="1"/>
  <c r="F114" i="23" l="1"/>
  <c r="G114" i="23" s="1"/>
  <c r="F82" i="23"/>
  <c r="F100" i="23"/>
  <c r="G100" i="23" s="1"/>
  <c r="G98" i="23"/>
  <c r="F113" i="23"/>
  <c r="G113" i="23" s="1"/>
  <c r="F106" i="23"/>
  <c r="G106" i="23" s="1"/>
  <c r="F107" i="23"/>
  <c r="G107" i="23" s="1"/>
  <c r="S19" i="23" s="1"/>
  <c r="O119" i="25"/>
  <c r="O120" i="25" s="1"/>
  <c r="O122" i="25" s="1"/>
  <c r="O115" i="25"/>
  <c r="O116" i="25" s="1"/>
  <c r="S81" i="23" l="1"/>
  <c r="X19" i="23"/>
  <c r="AI19" i="23" s="1"/>
  <c r="AH19" i="23" s="1"/>
  <c r="AI14" i="23"/>
  <c r="AD14" i="23"/>
  <c r="AE81" i="23"/>
  <c r="L82" i="23"/>
  <c r="S82" i="23"/>
  <c r="AQ13" i="25"/>
  <c r="O121" i="25"/>
  <c r="F78" i="25" s="1"/>
  <c r="D112" i="25"/>
  <c r="D105" i="25"/>
  <c r="AD15" i="23" l="1"/>
  <c r="A15" i="23" s="1"/>
  <c r="AH14" i="23"/>
  <c r="AI81" i="23"/>
  <c r="E110" i="25"/>
  <c r="N14" i="23" l="1"/>
  <c r="AH81" i="23"/>
  <c r="AD81" i="23"/>
  <c r="X15" i="23"/>
  <c r="A81" i="23"/>
  <c r="A82" i="23" s="1"/>
  <c r="C49" i="45"/>
  <c r="B49" i="45"/>
  <c r="C48" i="45"/>
  <c r="C64" i="45" s="1"/>
  <c r="B48" i="45"/>
  <c r="B64" i="45" s="1"/>
  <c r="C47" i="45"/>
  <c r="B47" i="45"/>
  <c r="C46" i="45"/>
  <c r="B46" i="45"/>
  <c r="C45" i="45"/>
  <c r="B45" i="45"/>
  <c r="C67" i="45"/>
  <c r="B67" i="45"/>
  <c r="C66" i="45"/>
  <c r="B66" i="45"/>
  <c r="C63" i="45"/>
  <c r="B63" i="45"/>
  <c r="C62" i="45"/>
  <c r="B62" i="45"/>
  <c r="C61" i="45"/>
  <c r="B61" i="45"/>
  <c r="C9" i="45"/>
  <c r="B9" i="45"/>
  <c r="D52" i="45"/>
  <c r="E52" i="45"/>
  <c r="D66" i="45"/>
  <c r="D6" i="45"/>
  <c r="D51" i="45" s="1"/>
  <c r="D62" i="45"/>
  <c r="D4" i="45"/>
  <c r="N81" i="23" l="1"/>
  <c r="X14" i="23"/>
  <c r="X81" i="23" s="1"/>
  <c r="Z84" i="23" s="1"/>
  <c r="N82" i="23"/>
  <c r="X82" i="23" s="1"/>
  <c r="Z82" i="23" s="1"/>
  <c r="Z83" i="23"/>
  <c r="E4" i="45"/>
  <c r="E61" i="45" s="1"/>
  <c r="D50" i="45"/>
  <c r="B65" i="45"/>
  <c r="B68" i="45" s="1"/>
  <c r="H45" i="45" s="1"/>
  <c r="C65" i="45"/>
  <c r="C53" i="45"/>
  <c r="C54" i="45" s="1"/>
  <c r="E66" i="45"/>
  <c r="B53" i="45"/>
  <c r="B54" i="45" s="1"/>
  <c r="E63" i="45"/>
  <c r="C68" i="45"/>
  <c r="C69" i="45" s="1"/>
  <c r="E67" i="45"/>
  <c r="D61" i="45"/>
  <c r="D63" i="45"/>
  <c r="E62" i="45"/>
  <c r="D9" i="45"/>
  <c r="D67" i="45"/>
  <c r="E50" i="45" l="1"/>
  <c r="B69" i="45"/>
  <c r="M46" i="45"/>
  <c r="E9" i="45"/>
  <c r="E97" i="25" l="1"/>
  <c r="F98" i="25" l="1"/>
  <c r="G98" i="25" l="1"/>
  <c r="F99" i="25"/>
  <c r="F100" i="25"/>
  <c r="G99" i="25" l="1"/>
  <c r="AF57" i="25" s="1"/>
  <c r="N57" i="25" s="1"/>
  <c r="G100" i="25"/>
  <c r="E104" i="25" l="1"/>
  <c r="E17" i="25" s="1"/>
  <c r="E111" i="25"/>
  <c r="I18" i="25" l="1"/>
  <c r="F112" i="25"/>
  <c r="G112" i="25" s="1"/>
  <c r="F105" i="25"/>
  <c r="G105" i="25" s="1"/>
  <c r="W86" i="23"/>
  <c r="V86" i="23"/>
  <c r="U86" i="23"/>
  <c r="T86" i="23"/>
  <c r="S86" i="23"/>
  <c r="R86" i="23"/>
  <c r="Q86" i="23"/>
  <c r="P86" i="23"/>
  <c r="O86" i="23"/>
  <c r="N86" i="23"/>
  <c r="M86" i="23"/>
  <c r="L86" i="23"/>
  <c r="K86" i="23"/>
  <c r="J86" i="23"/>
  <c r="I86" i="23"/>
  <c r="H86" i="23"/>
  <c r="G86" i="23"/>
  <c r="F86" i="23"/>
  <c r="E86" i="23"/>
  <c r="D86" i="23"/>
  <c r="C86" i="23"/>
  <c r="B86" i="23"/>
  <c r="E46" i="45" l="1"/>
  <c r="E47" i="45"/>
  <c r="F106" i="25"/>
  <c r="G106" i="25" s="1"/>
  <c r="AI14" i="25" s="1"/>
  <c r="F107" i="25"/>
  <c r="G107" i="25" s="1"/>
  <c r="F114" i="25"/>
  <c r="G114" i="25" s="1"/>
  <c r="F113" i="25"/>
  <c r="G113" i="25" s="1"/>
  <c r="D46" i="45"/>
  <c r="D47" i="45"/>
  <c r="E45" i="45"/>
  <c r="S19" i="25" l="1"/>
  <c r="E48" i="45"/>
  <c r="E64" i="45" s="1"/>
  <c r="X83" i="25" l="1"/>
  <c r="V81" i="25"/>
  <c r="V82" i="25" s="1"/>
  <c r="U81" i="25"/>
  <c r="S81" i="25"/>
  <c r="R81" i="25"/>
  <c r="Q81" i="25"/>
  <c r="M81" i="25"/>
  <c r="M82" i="25" s="1"/>
  <c r="L81" i="25"/>
  <c r="K81" i="25"/>
  <c r="K82" i="25" s="1"/>
  <c r="G81" i="25"/>
  <c r="E81" i="25"/>
  <c r="D81" i="25"/>
  <c r="C81" i="25"/>
  <c r="B81" i="25"/>
  <c r="B82" i="25" s="1"/>
  <c r="X80" i="25"/>
  <c r="X79" i="25"/>
  <c r="X78" i="25"/>
  <c r="X77" i="25"/>
  <c r="X76" i="25"/>
  <c r="X75" i="25"/>
  <c r="X74" i="25"/>
  <c r="X73" i="25"/>
  <c r="F81" i="25"/>
  <c r="F82" i="25" s="1"/>
  <c r="H81" i="25"/>
  <c r="X71" i="25"/>
  <c r="AN70" i="25"/>
  <c r="AH70" i="25" s="1"/>
  <c r="X70" i="25"/>
  <c r="X69" i="25"/>
  <c r="AH68" i="25"/>
  <c r="X68" i="25"/>
  <c r="AH67" i="25"/>
  <c r="X67" i="25"/>
  <c r="AH66" i="25"/>
  <c r="X66" i="25"/>
  <c r="AH65" i="25"/>
  <c r="X65" i="25"/>
  <c r="AH64" i="25"/>
  <c r="X64" i="25"/>
  <c r="AH63" i="25"/>
  <c r="X63" i="25"/>
  <c r="X62" i="25"/>
  <c r="AH61" i="25"/>
  <c r="X61" i="25"/>
  <c r="AH60" i="25"/>
  <c r="X60" i="25"/>
  <c r="AF60" i="25" s="1"/>
  <c r="X59" i="25"/>
  <c r="AF59" i="25" s="1"/>
  <c r="X58" i="25"/>
  <c r="AF58" i="25" s="1"/>
  <c r="AH56" i="25"/>
  <c r="X56" i="25"/>
  <c r="AF56" i="25" s="1"/>
  <c r="X55" i="25"/>
  <c r="AH54" i="25"/>
  <c r="X54" i="25"/>
  <c r="AH53" i="25"/>
  <c r="X53" i="25"/>
  <c r="X52" i="25"/>
  <c r="AH51" i="25"/>
  <c r="X51" i="25"/>
  <c r="AH50" i="25"/>
  <c r="X50" i="25"/>
  <c r="AF50" i="25" s="1"/>
  <c r="AH47" i="25"/>
  <c r="X47" i="25"/>
  <c r="AH46" i="25"/>
  <c r="X46" i="25"/>
  <c r="AH45" i="25"/>
  <c r="X45" i="25"/>
  <c r="AH44" i="25"/>
  <c r="X44" i="25"/>
  <c r="X43" i="25"/>
  <c r="AH42" i="25"/>
  <c r="X42" i="25"/>
  <c r="AH41" i="25"/>
  <c r="X41" i="25"/>
  <c r="AH40" i="25"/>
  <c r="X40" i="25"/>
  <c r="W81" i="25"/>
  <c r="X39" i="25"/>
  <c r="X38" i="25"/>
  <c r="AH36" i="25"/>
  <c r="X36" i="25"/>
  <c r="AF36" i="25" s="1"/>
  <c r="AH35" i="25"/>
  <c r="X35" i="25"/>
  <c r="AH34" i="25"/>
  <c r="X34" i="25"/>
  <c r="AH33" i="25"/>
  <c r="X33" i="25"/>
  <c r="AH32" i="25"/>
  <c r="T81" i="25"/>
  <c r="T82" i="25" s="1"/>
  <c r="O81" i="25"/>
  <c r="I81" i="25"/>
  <c r="AH30" i="25"/>
  <c r="X30" i="25"/>
  <c r="AH29" i="25"/>
  <c r="X29" i="25"/>
  <c r="AH28" i="25"/>
  <c r="J81" i="25"/>
  <c r="AH27" i="25"/>
  <c r="X27" i="25"/>
  <c r="AD27" i="25" s="1"/>
  <c r="AH26" i="25"/>
  <c r="X26" i="25"/>
  <c r="X25" i="25"/>
  <c r="AN25" i="25" s="1"/>
  <c r="X24" i="25"/>
  <c r="AN24" i="25" s="1"/>
  <c r="X23" i="25"/>
  <c r="AN23" i="25" s="1"/>
  <c r="X22" i="25"/>
  <c r="AI22" i="25" s="1"/>
  <c r="X21" i="25"/>
  <c r="X20" i="25"/>
  <c r="X19" i="25"/>
  <c r="AI19" i="25" s="1"/>
  <c r="X18" i="25"/>
  <c r="X17" i="25"/>
  <c r="AI17" i="25" s="1"/>
  <c r="X16" i="25"/>
  <c r="AH15" i="25"/>
  <c r="AH14" i="25"/>
  <c r="AD14" i="25"/>
  <c r="AH13" i="25"/>
  <c r="AE13" i="25" s="1"/>
  <c r="AD13" i="25" s="1"/>
  <c r="X13" i="25"/>
  <c r="AH12" i="25"/>
  <c r="AE12" i="25" s="1"/>
  <c r="AD12" i="25" s="1"/>
  <c r="X12" i="25"/>
  <c r="AH11" i="25"/>
  <c r="AE11" i="25" s="1"/>
  <c r="AD11" i="25" s="1"/>
  <c r="X11" i="25"/>
  <c r="AH10" i="25"/>
  <c r="AE10" i="25" s="1"/>
  <c r="AD10" i="25" s="1"/>
  <c r="X10" i="25"/>
  <c r="AH9" i="25"/>
  <c r="AE9" i="25" s="1"/>
  <c r="AD9" i="25" s="1"/>
  <c r="X9" i="25"/>
  <c r="AH8" i="25"/>
  <c r="AE8" i="25" s="1"/>
  <c r="X8" i="25"/>
  <c r="W86" i="25"/>
  <c r="V86" i="25"/>
  <c r="U86" i="25"/>
  <c r="T86" i="25"/>
  <c r="S86" i="25"/>
  <c r="R86" i="25"/>
  <c r="Q86" i="25"/>
  <c r="P86" i="25"/>
  <c r="O86" i="25"/>
  <c r="N86" i="25"/>
  <c r="M86" i="25"/>
  <c r="L86" i="25"/>
  <c r="K86" i="25"/>
  <c r="J86" i="25"/>
  <c r="I86" i="25"/>
  <c r="H86" i="25"/>
  <c r="G86" i="25"/>
  <c r="F86" i="25"/>
  <c r="E86" i="25"/>
  <c r="D86" i="25"/>
  <c r="C86" i="25"/>
  <c r="B86" i="25"/>
  <c r="AD8" i="25" l="1"/>
  <c r="AD15" i="25" s="1"/>
  <c r="AE81" i="25"/>
  <c r="AN16" i="25"/>
  <c r="AM16" i="25"/>
  <c r="AL16" i="25"/>
  <c r="AK16" i="25"/>
  <c r="AJ16" i="25"/>
  <c r="AP16" i="25"/>
  <c r="AI16" i="25"/>
  <c r="AF67" i="25"/>
  <c r="AF65" i="25"/>
  <c r="AF61" i="25"/>
  <c r="AF66" i="25"/>
  <c r="AF63" i="25"/>
  <c r="AF64" i="25"/>
  <c r="AH24" i="25"/>
  <c r="AF47" i="25"/>
  <c r="AF54" i="25"/>
  <c r="AF42" i="25"/>
  <c r="AF62" i="25"/>
  <c r="AG62" i="25" s="1"/>
  <c r="AI62" i="25" s="1"/>
  <c r="AF34" i="25"/>
  <c r="AF44" i="25"/>
  <c r="AF53" i="25"/>
  <c r="AF33" i="25"/>
  <c r="AF40" i="25"/>
  <c r="AF35" i="25"/>
  <c r="AF45" i="25"/>
  <c r="AF51" i="25"/>
  <c r="AF41" i="25"/>
  <c r="AF46" i="25"/>
  <c r="AH25" i="25"/>
  <c r="AH23" i="25"/>
  <c r="X48" i="25"/>
  <c r="X37" i="25"/>
  <c r="N14" i="25"/>
  <c r="X14" i="25" s="1"/>
  <c r="AQ73" i="25"/>
  <c r="AH73" i="25" s="1"/>
  <c r="AQ76" i="25"/>
  <c r="AH76" i="25" s="1"/>
  <c r="AQ74" i="25"/>
  <c r="AH74" i="25" s="1"/>
  <c r="AQ79" i="25"/>
  <c r="AH79" i="25" s="1"/>
  <c r="U82" i="25"/>
  <c r="AQ80" i="25"/>
  <c r="AH80" i="25" s="1"/>
  <c r="AH20" i="25"/>
  <c r="J82" i="25"/>
  <c r="AQ75" i="25"/>
  <c r="AH75" i="25" s="1"/>
  <c r="H82" i="25"/>
  <c r="P81" i="25"/>
  <c r="C82" i="25"/>
  <c r="AH21" i="25"/>
  <c r="W82" i="25"/>
  <c r="AQ78" i="25"/>
  <c r="AH78" i="25" s="1"/>
  <c r="G82" i="25"/>
  <c r="X32" i="25"/>
  <c r="AP77" i="25"/>
  <c r="AH77" i="25" s="1"/>
  <c r="AH22" i="25"/>
  <c r="D82" i="25"/>
  <c r="AH17" i="25"/>
  <c r="E82" i="25"/>
  <c r="I82" i="25"/>
  <c r="D45" i="45"/>
  <c r="L82" i="25"/>
  <c r="X57" i="25"/>
  <c r="S82" i="25"/>
  <c r="AH19" i="25"/>
  <c r="E49" i="45"/>
  <c r="Q82" i="25"/>
  <c r="X84" i="25"/>
  <c r="O82" i="25"/>
  <c r="X72" i="25"/>
  <c r="X28" i="25"/>
  <c r="X31" i="25"/>
  <c r="R82" i="25"/>
  <c r="AF71" i="25" l="1"/>
  <c r="AG71" i="25" s="1"/>
  <c r="AJ71" i="25" s="1"/>
  <c r="AF55" i="25"/>
  <c r="AG55" i="25" s="1"/>
  <c r="AN69" i="25"/>
  <c r="AH69" i="25" s="1"/>
  <c r="AF32" i="25"/>
  <c r="AF52" i="25"/>
  <c r="AG52" i="25" s="1"/>
  <c r="AN52" i="25" s="1"/>
  <c r="AF43" i="25"/>
  <c r="AG43" i="25" s="1"/>
  <c r="AJ43" i="25" s="1"/>
  <c r="AF39" i="25"/>
  <c r="AG39" i="25" s="1"/>
  <c r="AO39" i="25" s="1"/>
  <c r="AP81" i="25"/>
  <c r="P82" i="25"/>
  <c r="N81" i="25"/>
  <c r="N82" i="25" s="1"/>
  <c r="AH16" i="25"/>
  <c r="AQ72" i="25"/>
  <c r="AH72" i="25" s="1"/>
  <c r="D48" i="45"/>
  <c r="D64" i="45" s="1"/>
  <c r="AH18" i="25"/>
  <c r="E65" i="45"/>
  <c r="E68" i="45" s="1"/>
  <c r="E53" i="45"/>
  <c r="E54" i="45" s="1"/>
  <c r="AM62" i="25"/>
  <c r="AL62" i="25"/>
  <c r="AJ62" i="25"/>
  <c r="AK62" i="25"/>
  <c r="AN62" i="25"/>
  <c r="AO62" i="25"/>
  <c r="AO71" i="25"/>
  <c r="AN71" i="25"/>
  <c r="AI71" i="25"/>
  <c r="AK71" i="25"/>
  <c r="AL71" i="25"/>
  <c r="AM71" i="25"/>
  <c r="AO55" i="25"/>
  <c r="AN55" i="25"/>
  <c r="AM55" i="25"/>
  <c r="AL55" i="25"/>
  <c r="AK55" i="25"/>
  <c r="AJ55" i="25"/>
  <c r="AI55" i="25"/>
  <c r="AK43" i="25"/>
  <c r="AN43" i="25"/>
  <c r="AM43" i="25" l="1"/>
  <c r="AL43" i="25"/>
  <c r="AN39" i="25"/>
  <c r="AI39" i="25"/>
  <c r="AJ39" i="25"/>
  <c r="AO52" i="25"/>
  <c r="AI52" i="25"/>
  <c r="AJ52" i="25"/>
  <c r="AJ81" i="25" s="1"/>
  <c r="AK52" i="25"/>
  <c r="AL52" i="25"/>
  <c r="AL39" i="25"/>
  <c r="AI43" i="25"/>
  <c r="AO43" i="25"/>
  <c r="AM39" i="25"/>
  <c r="AK39" i="25"/>
  <c r="AF81" i="25"/>
  <c r="AG81" i="25"/>
  <c r="AM52" i="25"/>
  <c r="AQ81" i="25"/>
  <c r="AH71" i="25"/>
  <c r="E69" i="45"/>
  <c r="I49" i="45"/>
  <c r="AH62" i="25"/>
  <c r="AN81" i="25"/>
  <c r="AH55" i="25"/>
  <c r="AK81" i="25" l="1"/>
  <c r="AH39" i="25"/>
  <c r="AO81" i="25"/>
  <c r="AH52" i="25"/>
  <c r="AI81" i="25"/>
  <c r="AL81" i="25"/>
  <c r="AH43" i="25"/>
  <c r="AM81" i="25"/>
  <c r="AH81" i="25" l="1"/>
  <c r="AD81" i="25"/>
  <c r="A15" i="25" l="1"/>
  <c r="Z83" i="25"/>
  <c r="A81" i="25" l="1"/>
  <c r="X15" i="25"/>
  <c r="X81" i="25" l="1"/>
  <c r="Z84" i="25" s="1"/>
  <c r="A82" i="25"/>
  <c r="X82" i="25" l="1"/>
  <c r="Z82" i="25" s="1"/>
  <c r="D49" i="45"/>
  <c r="D65" i="45" l="1"/>
  <c r="D68" i="45" s="1"/>
  <c r="D53" i="45"/>
  <c r="D54" i="45" s="1"/>
  <c r="H49" i="45" l="1"/>
  <c r="D69"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Max Gunnar Ansas Guddat</author>
  </authors>
  <commentList>
    <comment ref="Z84" authorId="0" shapeId="0" xr:uid="{CF318025-1C85-4F2E-8F24-F444E19D70F5}">
      <text>
        <r>
          <rPr>
            <b/>
            <sz val="9"/>
            <color indexed="81"/>
            <rFont val="Tahoma"/>
            <family val="2"/>
          </rPr>
          <t>For kommuner med fjernvarmeimport: Ikke opdateret i light-regnskab.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Max Gunnar Ansas Guddat</author>
  </authors>
  <commentList>
    <comment ref="Z84" authorId="0" shapeId="0" xr:uid="{BF92063E-08D5-4B0D-BEB5-BC5EFB1CFAF4}">
      <text>
        <r>
          <rPr>
            <b/>
            <sz val="9"/>
            <color indexed="81"/>
            <rFont val="Tahoma"/>
            <family val="2"/>
          </rPr>
          <t>For kommuner med fjernvarmeimport: Ikke opdateret i light-regnskab.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 Michael Odgaard</author>
  </authors>
  <commentList>
    <comment ref="B732" authorId="0" shapeId="0" xr:uid="{FC0F7FEC-76B4-4F26-999D-E0A98A361579}">
      <text>
        <r>
          <rPr>
            <sz val="9"/>
            <color indexed="81"/>
            <rFont val="Tahoma"/>
            <family val="2"/>
          </rPr>
          <t>Eldistributionstab er 5 % jf. Energinet.dk. Dette tillægges for at få udvidet endeligt energiforbrug.</t>
        </r>
      </text>
    </comment>
    <comment ref="H743" authorId="0" shapeId="0" xr:uid="{FAAE3203-C4D7-407E-892F-27C15D983AEC}">
      <text>
        <r>
          <rPr>
            <b/>
            <sz val="9"/>
            <color indexed="81"/>
            <rFont val="Tahoma"/>
            <family val="2"/>
          </rPr>
          <t xml:space="preserve">Egetforbrug af varme (celle AF67) hos industrielle KV-værker.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Ahrens Nielsen</author>
  </authors>
  <commentList>
    <comment ref="D65" authorId="0" shapeId="0" xr:uid="{619D1BD3-8A34-4299-B982-3E3E205ADCB4}">
      <text>
        <r>
          <rPr>
            <b/>
            <sz val="9"/>
            <color indexed="81"/>
            <rFont val="Tahoma"/>
            <family val="2"/>
          </rPr>
          <t>Thomas Ahrens Nielsen:</t>
        </r>
        <r>
          <rPr>
            <sz val="9"/>
            <color indexed="81"/>
            <rFont val="Tahoma"/>
            <family val="2"/>
          </rPr>
          <t xml:space="preserve">
skyldes at man ikke længere får nogen reduktion af emission med ved produktion af VE-EL. </t>
        </r>
      </text>
    </comment>
  </commentList>
</comments>
</file>

<file path=xl/sharedStrings.xml><?xml version="1.0" encoding="utf-8"?>
<sst xmlns="http://schemas.openxmlformats.org/spreadsheetml/2006/main" count="1054" uniqueCount="347">
  <si>
    <t>Brændsel</t>
  </si>
  <si>
    <t>Slutforbrug</t>
  </si>
  <si>
    <t>Samlet</t>
  </si>
  <si>
    <t>Elkomfur</t>
  </si>
  <si>
    <t>Elvandvarmer</t>
  </si>
  <si>
    <t>Elradiator</t>
  </si>
  <si>
    <t>Solvarmeanlæg</t>
  </si>
  <si>
    <t>Vandkraftanlæg</t>
  </si>
  <si>
    <t>Bølgekraftanlæg</t>
  </si>
  <si>
    <t>Busser</t>
  </si>
  <si>
    <t>Traktorer</t>
  </si>
  <si>
    <t>Skibe</t>
  </si>
  <si>
    <t>tons/indbygger</t>
  </si>
  <si>
    <t>Affaldsforbrændingsanlæg, dampturbine</t>
  </si>
  <si>
    <t>Affaldsforbrændingsanlæg, kedel</t>
  </si>
  <si>
    <t>Affaldsforbrændingsanlæg, kombianlæg</t>
  </si>
  <si>
    <t>Lokale KV-værker, motor</t>
  </si>
  <si>
    <t>Lokale KV-værker, kedel</t>
  </si>
  <si>
    <t>Belysning</t>
  </si>
  <si>
    <t>Elkompressorer</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</si>
  <si>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</si>
  <si>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</si>
  <si>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</si>
  <si>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</si>
  <si>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</si>
  <si>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</si>
  <si>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</si>
  <si>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</si>
  <si>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Fjernvarmeværker, kedel</t>
  </si>
  <si>
    <t>Decentrale KV-værker, gasturbine</t>
  </si>
  <si>
    <t>Decentrale KV-værker, kedel</t>
  </si>
  <si>
    <t>Decentrale KV-værker, kombianlæg</t>
  </si>
  <si>
    <t>Tog</t>
  </si>
  <si>
    <t>Fly</t>
  </si>
  <si>
    <t>Elimport</t>
  </si>
  <si>
    <t>Lokalt biomassepotentiale</t>
  </si>
  <si>
    <t>Decentrale KV-værker, solvarme</t>
  </si>
  <si>
    <t>Import fjernvarme</t>
  </si>
  <si>
    <t>Udnyttelsesprocent af lokalt biomassepotentiale</t>
  </si>
  <si>
    <t>Centrale kraftværker, dampturbine</t>
  </si>
  <si>
    <t>Centrale kraftværker, forbrændingsmotor</t>
  </si>
  <si>
    <t>Centrale kraftværker, gasturbine</t>
  </si>
  <si>
    <t>Centrale kraftværker, kedel</t>
  </si>
  <si>
    <t>Decentrale KV-værker, dampturbine</t>
  </si>
  <si>
    <t>Decentrale KV-værker, forbrændingsmotor</t>
  </si>
  <si>
    <t xml:space="preserve">Solcelleanlæg </t>
  </si>
  <si>
    <t>Enheder:</t>
  </si>
  <si>
    <t>TJ, tons</t>
  </si>
  <si>
    <t>Antal indbyggere:</t>
  </si>
  <si>
    <t>%</t>
  </si>
  <si>
    <t>Elnetvirkningsgrad:</t>
  </si>
  <si>
    <t>Anlægstype</t>
  </si>
  <si>
    <t>Fjernvarmenet</t>
  </si>
  <si>
    <t>Elnet</t>
  </si>
  <si>
    <t>Varmepumper, individuel</t>
  </si>
  <si>
    <t>Gasoliekedel, individuel</t>
  </si>
  <si>
    <t>Naturgaskedel, individuel</t>
  </si>
  <si>
    <t>Træpillekedel, individuel</t>
  </si>
  <si>
    <t>Brændekedel og -ovn, individuel</t>
  </si>
  <si>
    <t>Halmfyr, individuel</t>
  </si>
  <si>
    <t xml:space="preserve">Gasoliekedel, erhverv </t>
  </si>
  <si>
    <t xml:space="preserve">Naturgaskedel, erhverv </t>
  </si>
  <si>
    <t>Vindkraftanlæg, land</t>
  </si>
  <si>
    <t>Centrale kraftværker, fjernvarmeproduktion</t>
  </si>
  <si>
    <t>Affaldsforbrændingsanlæg, fjernvarmeproduktion</t>
  </si>
  <si>
    <t>Decentrale KV-værker, fjernvarmeproduktion</t>
  </si>
  <si>
    <t>Lokale KV-værker, fjernvarmeproduktion</t>
  </si>
  <si>
    <t>Industrielle KV-værker, fjernvarmeproduktion</t>
  </si>
  <si>
    <t>Benzinbiler</t>
  </si>
  <si>
    <t>Dieselbiler</t>
  </si>
  <si>
    <t>Lastbiler m.m.</t>
  </si>
  <si>
    <t>Elmotorer m.m.</t>
  </si>
  <si>
    <t>Gaskomfur, proces, m.m.</t>
  </si>
  <si>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</si>
  <si>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</si>
  <si>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</si>
  <si>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</si>
  <si>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</si>
  <si>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</si>
  <si>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</si>
  <si>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</si>
  <si>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</si>
  <si>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</si>
  <si>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</si>
  <si>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</si>
  <si>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</si>
  <si>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</si>
  <si>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</si>
  <si>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</si>
  <si>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</si>
  <si>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</si>
  <si>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</si>
  <si>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</si>
  <si>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</si>
  <si>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</si>
  <si>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</si>
  <si>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</si>
  <si>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</si>
  <si>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</si>
  <si>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</si>
  <si>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</si>
  <si>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</si>
  <si>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</si>
  <si>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</si>
  <si>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</si>
  <si>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</si>
  <si>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</si>
  <si>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</si>
  <si>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</si>
  <si>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</si>
  <si>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</si>
  <si>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</si>
  <si>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</si>
  <si>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</si>
  <si>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</si>
  <si>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Fjernvarmeværker, fjernvarmeproduktion</t>
  </si>
  <si>
    <t>Decentrale KV-værker, varmepumpe</t>
  </si>
  <si>
    <t>Decentrale KV-værker, elpatron</t>
  </si>
  <si>
    <t>Fjernvarmeværker, elpatron</t>
  </si>
  <si>
    <t>Fjernvarmeværker, geotermi</t>
  </si>
  <si>
    <t>Fjernvarmeværker, varmepumpe</t>
  </si>
  <si>
    <t>Varebiler</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</si>
  <si>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</si>
  <si>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</si>
  <si>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</si>
  <si>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</si>
  <si>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</si>
  <si>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</si>
  <si>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</si>
  <si>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</si>
  <si>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</si>
  <si>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</si>
  <si>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</si>
  <si>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</si>
  <si>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</si>
  <si>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</si>
  <si>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</si>
  <si>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</si>
  <si>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</si>
  <si>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</si>
  <si>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</si>
  <si>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</si>
  <si>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</si>
  <si>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</si>
  <si>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</si>
  <si>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</si>
  <si>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</si>
  <si>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</si>
  <si>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</si>
  <si>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</si>
  <si>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vedvarende energi og fossile brændsler</t>
  </si>
  <si>
    <t xml:space="preserve">Vedvarende energi fordelt på ressourcetyper </t>
  </si>
  <si>
    <t>Bruttoenergiforbrug fordelt på omsætningsenheder</t>
  </si>
  <si>
    <t>Individuel opvarmning</t>
  </si>
  <si>
    <t>Kollektiv el- og varmeforsyning</t>
  </si>
  <si>
    <t>Industri</t>
  </si>
  <si>
    <t>Transport</t>
  </si>
  <si>
    <t>El-import</t>
  </si>
  <si>
    <t xml:space="preserve">Brændselsforbrug fordelt på omsætningsenheder </t>
  </si>
  <si>
    <t>Bruttoenergiforbrug fordelt på omsætningsenheder for vedvarende energi og fossile brændsler</t>
  </si>
  <si>
    <t xml:space="preserve">Brug af vedvarende energi opdelt på omsætningsenheder </t>
  </si>
  <si>
    <t>Bruttoenenergiforbrug til transport</t>
  </si>
  <si>
    <t>Bruttoenenergiforbrug til transport fordelt på transportform</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</si>
  <si>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</si>
  <si>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</si>
  <si>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</si>
  <si>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</si>
  <si>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 xml:space="preserve">-udledning fordelt på omsætningsenheder </t>
    </r>
  </si>
  <si>
    <t>Udvidede endelige energiforbrug</t>
  </si>
  <si>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</si>
  <si>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</si>
  <si>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</si>
  <si>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</si>
  <si>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</si>
  <si>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</si>
  <si>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</si>
  <si>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</si>
  <si>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</si>
  <si>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</si>
  <si>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</si>
  <si>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</si>
  <si>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Slutforbrug af varme fordelt på anlægstype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</si>
  <si>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</si>
  <si>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</si>
  <si>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</si>
  <si>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</si>
  <si>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</si>
  <si>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</si>
  <si>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</si>
  <si>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</si>
  <si>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</si>
  <si>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</si>
  <si>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</si>
  <si>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</si>
  <si>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</si>
  <si>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</si>
  <si>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</si>
  <si>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</si>
  <si>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</si>
  <si>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</si>
  <si>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</si>
  <si>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</si>
  <si>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</si>
  <si>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</si>
  <si>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</si>
  <si>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</si>
  <si>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</si>
  <si>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</si>
  <si>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</si>
  <si>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</si>
  <si>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</si>
  <si>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</si>
  <si>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</si>
  <si>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</si>
  <si>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</si>
  <si>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</si>
  <si>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</si>
  <si>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</si>
  <si>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</si>
  <si>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</si>
  <si>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BAU2030</t>
  </si>
  <si>
    <t>BAU2050</t>
  </si>
  <si>
    <t>Elbalance (produktion fordelt på anlægstype)</t>
  </si>
  <si>
    <t>Fjernvarmebalance (produktion fordelt på anlægstype)</t>
  </si>
  <si>
    <t>Fjernvarmebalance (produktion fordelt på brændsel)</t>
  </si>
  <si>
    <t xml:space="preserve">Bruttoenenergiforbrug til transport </t>
  </si>
  <si>
    <r>
      <t>CO</t>
    </r>
    <r>
      <rPr>
        <b/>
        <vertAlign val="subscript"/>
        <sz val="10"/>
        <rFont val="Arial"/>
        <family val="2"/>
      </rPr>
      <t>2</t>
    </r>
    <r>
      <rPr>
        <b/>
        <sz val="10"/>
        <rFont val="Arial"/>
        <family val="2"/>
      </rPr>
      <t xml:space="preserve">-udledning opdelt på brændsler </t>
    </r>
  </si>
  <si>
    <t>Udvidede endelige energiforbrug fordelt på kategorier</t>
  </si>
  <si>
    <t>Udvidede endelige energiforbrug fordelt på brændsler</t>
  </si>
  <si>
    <t>Slutforbrug fordelt på kategorier</t>
  </si>
  <si>
    <t xml:space="preserve">Slutforbrug af varme opdelt på anlægstype </t>
  </si>
  <si>
    <t xml:space="preserve">Bruttoenergiforbrug opdelt på brændsler </t>
  </si>
  <si>
    <t xml:space="preserve">Bruttoenergiforbrug opdelt på vedvarende energi og fossile brændsler </t>
  </si>
  <si>
    <t xml:space="preserve">Vedvarende energi opdelt på ressourcetyper </t>
  </si>
  <si>
    <t xml:space="preserve">Bruttoenenergiforbrug til transport opdelt på transportform </t>
  </si>
  <si>
    <t xml:space="preserve">Brændselsforbrug opdelt på omsætningsenheder </t>
  </si>
  <si>
    <t>Mål2050</t>
  </si>
  <si>
    <t>Affald</t>
  </si>
  <si>
    <t>Olie og gas</t>
  </si>
  <si>
    <t>Fast Biomasse</t>
  </si>
  <si>
    <t xml:space="preserve">Industrikedel, erhverv </t>
  </si>
  <si>
    <t>Fjernvarmeværker, solvarme</t>
  </si>
  <si>
    <t>Traktorer m.m.</t>
  </si>
  <si>
    <r>
      <t>CO</t>
    </r>
    <r>
      <rPr>
        <b/>
        <vertAlign val="subscript"/>
        <sz val="10"/>
        <rFont val="Arial"/>
        <family val="2"/>
      </rPr>
      <t>2</t>
    </r>
    <r>
      <rPr>
        <b/>
        <sz val="10"/>
        <rFont val="Arial"/>
        <family val="2"/>
      </rPr>
      <t>-emissioner (1.000 tons)</t>
    </r>
  </si>
  <si>
    <t>% VE (Lokal)</t>
  </si>
  <si>
    <r>
      <t>CO</t>
    </r>
    <r>
      <rPr>
        <vertAlign val="subscript"/>
        <sz val="10"/>
        <rFont val="Arial"/>
        <family val="2"/>
      </rPr>
      <t>2</t>
    </r>
    <r>
      <rPr>
        <sz val="10"/>
        <rFont val="Arial"/>
        <family val="2"/>
      </rPr>
      <t>-emission (tons/TJ)</t>
    </r>
  </si>
  <si>
    <t>BAU 2030</t>
  </si>
  <si>
    <t>BAU 2050</t>
  </si>
  <si>
    <t>Planteavl</t>
  </si>
  <si>
    <t>Dyrehold</t>
  </si>
  <si>
    <t>Arealanvendelse</t>
  </si>
  <si>
    <t>Industrielle processer</t>
  </si>
  <si>
    <t>Affald og spildevand</t>
  </si>
  <si>
    <t xml:space="preserve">Kilde: PlanEnergi Klimaregnskab 2018 </t>
  </si>
  <si>
    <t>Industri (energi)</t>
  </si>
  <si>
    <t>Landbrug og arealanvendelse</t>
  </si>
  <si>
    <t>Ton pr. indb.</t>
  </si>
  <si>
    <t>MANKO</t>
  </si>
  <si>
    <t>Øvrig energisektor</t>
  </si>
  <si>
    <t>Affald, spildevand og tilfældige brande</t>
  </si>
  <si>
    <t>Industrikedel, erhverv</t>
  </si>
  <si>
    <t>75 % til el (varmepumpe)</t>
  </si>
  <si>
    <t>25 % til træpiller</t>
  </si>
  <si>
    <t xml:space="preserve">Mink reduktion </t>
  </si>
  <si>
    <t>Bilag 2</t>
  </si>
  <si>
    <t>Bilag  3</t>
  </si>
  <si>
    <t>Olie individuel (70 %)</t>
  </si>
  <si>
    <t>Gas individuel (20 %)</t>
  </si>
  <si>
    <t>til VP</t>
  </si>
  <si>
    <t>til Sol</t>
  </si>
  <si>
    <t>gns Virkningsgrad</t>
  </si>
  <si>
    <t xml:space="preserve">Reduktion </t>
  </si>
  <si>
    <t xml:space="preserve">Klima sektor </t>
  </si>
  <si>
    <t>Resultater</t>
  </si>
  <si>
    <t>Udledning pr. indbygger</t>
  </si>
  <si>
    <t>Gas i kollektiv varmeforsyning (50%)</t>
  </si>
  <si>
    <t>Ab værk</t>
  </si>
  <si>
    <t>NVB</t>
  </si>
  <si>
    <t>Scenarieberegninger (BAU)</t>
  </si>
  <si>
    <t>Varmeforsyningen</t>
  </si>
  <si>
    <t>-4%</t>
  </si>
  <si>
    <t>Heraf diesel</t>
  </si>
  <si>
    <t>Heraf el</t>
  </si>
  <si>
    <t>Personbiler, udvikling af forbrug 2018-30</t>
  </si>
  <si>
    <t>Personbil, benzin</t>
  </si>
  <si>
    <t>Personbil, diesel</t>
  </si>
  <si>
    <t>Varebiler (total)</t>
  </si>
  <si>
    <t>Lastbiler (total)</t>
  </si>
  <si>
    <t>Busser (total)</t>
  </si>
  <si>
    <t>Personbil, el/"grøn" - SE SÆRSKILT OPGØRELSE</t>
  </si>
  <si>
    <t>Søfart</t>
  </si>
  <si>
    <t>Banetransport</t>
  </si>
  <si>
    <t>Indenrigs luftfart</t>
  </si>
  <si>
    <t>Antal i 2030:</t>
  </si>
  <si>
    <t>Enhedsforbrug</t>
  </si>
  <si>
    <t>GJ/køretøj</t>
  </si>
  <si>
    <t>Personbiler 2018, landsplan</t>
  </si>
  <si>
    <t>Personbiler 2018, kommune</t>
  </si>
  <si>
    <t>El-personbiler 2030, kommune</t>
  </si>
  <si>
    <t>Elforbrug, elbiler 2030</t>
  </si>
  <si>
    <t>Personbiler - el</t>
  </si>
  <si>
    <t>*Se beskrivelse i baggrundsnotatet.</t>
  </si>
  <si>
    <t>Transport*</t>
  </si>
  <si>
    <t>Dieselforbrug 2018</t>
  </si>
  <si>
    <t>Udvikling 2018-30</t>
  </si>
  <si>
    <t>stk.</t>
  </si>
  <si>
    <t>Bio-andele, 2030</t>
  </si>
  <si>
    <t>Diesel</t>
  </si>
  <si>
    <t>-10%</t>
  </si>
  <si>
    <t>Gas i kollektiv varmeforsyning (-80%)</t>
  </si>
  <si>
    <t>Olie individuel (-100 %)</t>
  </si>
  <si>
    <t>Gas individuel (-80 %)</t>
  </si>
  <si>
    <t>Personbiler, udvikling af forbrug 2018-50</t>
  </si>
  <si>
    <t>Udvikling 2018-50</t>
  </si>
  <si>
    <t>Bio-andele, 2050</t>
  </si>
  <si>
    <t>Antal i 2050:</t>
  </si>
  <si>
    <r>
      <t>1.000 tons CO</t>
    </r>
    <r>
      <rPr>
        <vertAlign val="subscript"/>
        <sz val="10"/>
        <rFont val="Arial"/>
        <family val="2"/>
      </rPr>
      <t>2</t>
    </r>
    <r>
      <rPr>
        <sz val="10"/>
        <rFont val="Arial"/>
        <family val="2"/>
      </rPr>
      <t>-ækv.</t>
    </r>
  </si>
  <si>
    <r>
      <t>kt CO</t>
    </r>
    <r>
      <rPr>
        <vertAlign val="subscript"/>
        <sz val="10"/>
        <rFont val="Arial"/>
        <family val="2"/>
      </rPr>
      <t>2</t>
    </r>
    <r>
      <rPr>
        <sz val="10"/>
        <rFont val="Arial"/>
        <family val="2"/>
      </rPr>
      <t xml:space="preserve">-ækv. </t>
    </r>
  </si>
  <si>
    <t>Reduktionsmål (70%/100%-målsætning)</t>
  </si>
  <si>
    <t>CO2-emissioner (1.000 tons)</t>
  </si>
  <si>
    <t>CO2-emission (tons/TJ)</t>
  </si>
  <si>
    <t>Oganisk landbrugsjord</t>
  </si>
  <si>
    <t>Organisk landbrugsjord (ha):</t>
  </si>
  <si>
    <t>Genoversvømmet organsik jord (ha)</t>
  </si>
  <si>
    <t>Total organsik jord i omdrift (ha)</t>
  </si>
  <si>
    <t>8% udtages (ha)</t>
  </si>
  <si>
    <t>12% udtages</t>
  </si>
  <si>
    <t xml:space="preserve">Total reduktion ved udtagning af organsik jord i omdrift: </t>
  </si>
  <si>
    <t xml:space="preserve">Afflaldsdeponi </t>
  </si>
  <si>
    <t xml:space="preserve">Udtagning af </t>
  </si>
  <si>
    <t>mink</t>
  </si>
  <si>
    <r>
      <t>ton/CH</t>
    </r>
    <r>
      <rPr>
        <vertAlign val="subscript"/>
        <sz val="10"/>
        <rFont val="Arial"/>
        <family val="2"/>
      </rPr>
      <t>4</t>
    </r>
  </si>
  <si>
    <r>
      <t>ton/N</t>
    </r>
    <r>
      <rPr>
        <vertAlign val="subscript"/>
        <sz val="10"/>
        <rFont val="Arial"/>
        <family val="2"/>
      </rPr>
      <t>2</t>
    </r>
    <r>
      <rPr>
        <sz val="10"/>
        <rFont val="Arial"/>
        <family val="2"/>
      </rPr>
      <t>O</t>
    </r>
  </si>
  <si>
    <r>
      <t>ton CO</t>
    </r>
    <r>
      <rPr>
        <vertAlign val="subscript"/>
        <sz val="10"/>
        <rFont val="Arial"/>
        <family val="2"/>
      </rPr>
      <t>2</t>
    </r>
    <r>
      <rPr>
        <sz val="10"/>
        <rFont val="Arial"/>
        <family val="2"/>
      </rPr>
      <t xml:space="preserve">-ækv. </t>
    </r>
  </si>
  <si>
    <r>
      <t>Kt CO</t>
    </r>
    <r>
      <rPr>
        <vertAlign val="subscript"/>
        <sz val="10"/>
        <rFont val="Arial"/>
        <family val="2"/>
      </rPr>
      <t>2</t>
    </r>
    <r>
      <rPr>
        <sz val="10"/>
        <rFont val="Arial"/>
        <family val="2"/>
      </rPr>
      <t>-ækv.</t>
    </r>
  </si>
  <si>
    <t xml:space="preserve">Gennemsnitlig reduktion ved konvertering af drænet organisk jord til periodisk oversvømmet område. </t>
  </si>
  <si>
    <t>Læsø Kommune 1990</t>
  </si>
  <si>
    <t>Læsø Kommune 2018</t>
  </si>
  <si>
    <t>Læsø Kommune BAU-2030</t>
  </si>
  <si>
    <t>Læsø Kommune BAU-2050</t>
  </si>
  <si>
    <t>Udvidede endelige energiforbrug BAU 2030</t>
  </si>
  <si>
    <t>Slutforbrug BAU 2030</t>
  </si>
  <si>
    <t>Slutforbrug af varme fordelt på anlægstype BAU2030</t>
  </si>
  <si>
    <t>Elbalance BAU 2030 (produktion fordelt på anlægstype)</t>
  </si>
  <si>
    <t>Elbalance (produktion fordelt på brændsel) BAU 2030</t>
  </si>
  <si>
    <t>Fjernvarmebalance (produktion fordelt på anlægstype) BAU 2030</t>
  </si>
  <si>
    <t>Fjernvarmebalance (produktion fordelt på brændsel) BAU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</si>
</sst>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0.000"/>
    <numFmt numFmtId="171" formatCode="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
    <numFmt numFmtId="181" formatCode="_(* #,##0.0_);_(* \(#,##0.0\);_(* &quot;-&quot;??_);_(@_)"/>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sz val="10"/>
      <color theme="0" tint="-0.249977111117893"/>
      <name val="Arial"/>
      <family val="2"/>
    </font>
    <font>
      <b/>
      <vertAlign val="subscript"/>
      <sz val="18"/>
      <name val="Arial"/>
      <family val="2"/>
    </font>
    <font>
      <sz val="10"/>
      <color theme="0"/>
      <name val="Arial"/>
      <family val="2"/>
    </font>
    <font>
      <sz val="9"/>
      <color indexed="81"/>
      <name val="Tahoma"/>
      <family val="2"/>
    </font>
    <font>
      <b/>
      <sz val="9"/>
      <color indexed="81"/>
      <name val="Tahoma"/>
      <family val="2"/>
    </font>
    <font>
      <sz val="10"/>
      <name val="Courier"/>
      <family val="3"/>
    </font>
    <font>
      <sz val="10"/>
      <color rgb="FFFF0000"/>
      <name val="Arial"/>
      <family val="2"/>
    </font>
    <font>
      <b/>
      <sz val="36"/>
      <color rgb="FFFF0000"/>
      <name val="Arial"/>
      <family val="2"/>
    </font>
    <font>
      <sz val="11"/>
      <color rgb="FF006100"/>
      <name val="Calibri"/>
      <family val="2"/>
      <scheme val="minor"/>
    </font>
    <font>
      <b/>
      <sz val="10"/>
      <name val="Courier"/>
      <family val="3"/>
    </font>
    <font>
      <i/>
      <sz val="10"/>
      <name val="Arial"/>
      <family val="2"/>
    </font>
    <font>
      <sz val="10"/>
      <name val="Arial"/>
      <family val="2"/>
    </font>
    <font>
      <b/>
      <u/>
      <sz val="12"/>
      <name val="Arial"/>
      <family val="2"/>
    </font>
    <font>
      <b/>
      <u/>
      <sz val="22"/>
      <name val="Arial"/>
      <family val="2"/>
    </font>
    <font>
      <b/>
      <i/>
      <sz val="10"/>
      <name val="Arial"/>
      <family val="2"/>
    </font>
    <font>
      <sz val="11"/>
      <color rgb="FF9C0006"/>
      <name val="Calibri"/>
      <family val="2"/>
      <scheme val="minor"/>
    </font>
    <font>
      <b/>
      <u/>
      <sz val="11"/>
      <color theme="1"/>
      <name val="Calibri"/>
      <family val="2"/>
      <scheme val="minor"/>
    </font>
    <font>
      <b/>
      <u/>
      <sz val="10"/>
      <name val="Arial"/>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92D050"/>
        <bgColor indexed="64"/>
      </patternFill>
    </fill>
    <fill>
      <patternFill patternType="solid">
        <fgColor rgb="FF99CC3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C7CE"/>
      </patternFill>
    </fill>
    <fill>
      <patternFill patternType="solid">
        <fgColor theme="9" tint="0.59999389629810485"/>
        <bgColor indexed="64"/>
      </patternFill>
    </fill>
  </fills>
  <borders count="67">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8"/>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0">
    <xf numFmtId="0" fontId="0" fillId="0" borderId="0"/>
    <xf numFmtId="0" fontId="9" fillId="0" borderId="0"/>
    <xf numFmtId="168" fontId="6" fillId="0" borderId="0" applyFont="0" applyFill="0" applyBorder="0" applyAlignment="0" applyProtection="0"/>
    <xf numFmtId="0" fontId="6" fillId="0" borderId="0"/>
    <xf numFmtId="9" fontId="6" fillId="0" borderId="0" applyFont="0" applyFill="0" applyBorder="0" applyAlignment="0" applyProtection="0"/>
    <xf numFmtId="172" fontId="6" fillId="0" borderId="0" applyFont="0" applyFill="0" applyBorder="0" applyAlignment="0" applyProtection="0"/>
    <xf numFmtId="0" fontId="6" fillId="0" borderId="0"/>
    <xf numFmtId="172"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9" fontId="6" fillId="0" borderId="0" applyFont="0" applyFill="0" applyBorder="0" applyAlignment="0" applyProtection="0"/>
    <xf numFmtId="0" fontId="4" fillId="0" borderId="0"/>
    <xf numFmtId="165" fontId="4" fillId="0" borderId="0" applyFont="0" applyFill="0" applyBorder="0" applyAlignment="0" applyProtection="0"/>
    <xf numFmtId="164" fontId="6"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0" fontId="21" fillId="0" borderId="0">
      <alignment vertical="top"/>
    </xf>
    <xf numFmtId="164" fontId="6" fillId="0" borderId="0" applyFont="0" applyFill="0" applyBorder="0" applyAlignment="0" applyProtection="0"/>
    <xf numFmtId="0" fontId="2"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4" fillId="6" borderId="0" applyNumberFormat="0" applyBorder="0" applyAlignment="0" applyProtection="0"/>
    <xf numFmtId="165" fontId="1" fillId="0" borderId="0" applyFont="0" applyFill="0" applyBorder="0" applyAlignment="0" applyProtection="0"/>
    <xf numFmtId="9" fontId="27" fillId="0" borderId="0" applyFont="0" applyFill="0" applyBorder="0" applyAlignment="0" applyProtection="0"/>
    <xf numFmtId="0" fontId="31" fillId="11" borderId="0" applyNumberFormat="0" applyBorder="0" applyAlignment="0" applyProtection="0"/>
  </cellStyleXfs>
  <cellXfs count="429">
    <xf numFmtId="0" fontId="0" fillId="0" borderId="0" xfId="0"/>
    <xf numFmtId="0" fontId="0" fillId="2" borderId="0" xfId="0" applyFill="1"/>
    <xf numFmtId="3" fontId="6" fillId="2" borderId="37" xfId="0" applyNumberFormat="1" applyFont="1" applyFill="1" applyBorder="1"/>
    <xf numFmtId="1" fontId="6" fillId="2" borderId="0" xfId="3" applyNumberFormat="1" applyFill="1"/>
    <xf numFmtId="0" fontId="6" fillId="2" borderId="0" xfId="3" applyFill="1"/>
    <xf numFmtId="1" fontId="6" fillId="2" borderId="7" xfId="3" applyNumberFormat="1" applyFill="1" applyBorder="1"/>
    <xf numFmtId="0" fontId="6" fillId="3" borderId="0" xfId="3" applyFill="1"/>
    <xf numFmtId="1" fontId="6" fillId="3" borderId="0" xfId="3" applyNumberFormat="1" applyFill="1"/>
    <xf numFmtId="0" fontId="16" fillId="3" borderId="0" xfId="3" applyFont="1" applyFill="1"/>
    <xf numFmtId="0" fontId="8" fillId="4" borderId="33" xfId="3" applyFont="1" applyFill="1" applyBorder="1"/>
    <xf numFmtId="3" fontId="8" fillId="4" borderId="33" xfId="3" applyNumberFormat="1" applyFont="1" applyFill="1" applyBorder="1"/>
    <xf numFmtId="171" fontId="16" fillId="3" borderId="0" xfId="4" applyNumberFormat="1" applyFont="1" applyFill="1"/>
    <xf numFmtId="173" fontId="6" fillId="0" borderId="0" xfId="5" applyNumberFormat="1" applyFont="1" applyFill="1" applyBorder="1"/>
    <xf numFmtId="173" fontId="6" fillId="0" borderId="0" xfId="5" applyNumberFormat="1" applyFont="1" applyFill="1"/>
    <xf numFmtId="174" fontId="8" fillId="0" borderId="0" xfId="5" applyNumberFormat="1" applyFont="1" applyFill="1" applyBorder="1"/>
    <xf numFmtId="0" fontId="8" fillId="4" borderId="22" xfId="3" applyFont="1" applyFill="1" applyBorder="1"/>
    <xf numFmtId="3" fontId="8" fillId="4" borderId="22" xfId="3" applyNumberFormat="1" applyFont="1" applyFill="1" applyBorder="1"/>
    <xf numFmtId="3" fontId="8" fillId="4" borderId="49" xfId="3" applyNumberFormat="1" applyFont="1" applyFill="1" applyBorder="1"/>
    <xf numFmtId="3" fontId="0" fillId="0" borderId="22" xfId="5" applyNumberFormat="1" applyFont="1" applyFill="1" applyBorder="1"/>
    <xf numFmtId="0" fontId="8" fillId="4" borderId="57" xfId="3" applyFont="1" applyFill="1" applyBorder="1"/>
    <xf numFmtId="0" fontId="8" fillId="4" borderId="22" xfId="3" applyFont="1" applyFill="1" applyBorder="1" applyAlignment="1">
      <alignment horizontal="center"/>
    </xf>
    <xf numFmtId="3" fontId="6" fillId="4" borderId="22" xfId="3" applyNumberFormat="1" applyFill="1" applyBorder="1"/>
    <xf numFmtId="3" fontId="8" fillId="4" borderId="57" xfId="3" applyNumberFormat="1" applyFont="1" applyFill="1" applyBorder="1"/>
    <xf numFmtId="173" fontId="0" fillId="3" borderId="0" xfId="5" applyNumberFormat="1" applyFont="1" applyFill="1" applyBorder="1"/>
    <xf numFmtId="2" fontId="6" fillId="0" borderId="0" xfId="5" applyNumberFormat="1" applyFill="1"/>
    <xf numFmtId="167" fontId="6" fillId="2" borderId="58" xfId="3" applyNumberFormat="1" applyFill="1" applyBorder="1"/>
    <xf numFmtId="3" fontId="6" fillId="2" borderId="38" xfId="0" applyNumberFormat="1" applyFont="1" applyFill="1" applyBorder="1"/>
    <xf numFmtId="3" fontId="6" fillId="5" borderId="24" xfId="0" applyNumberFormat="1" applyFont="1" applyFill="1" applyBorder="1" applyAlignment="1">
      <alignment horizontal="left" indent="1"/>
    </xf>
    <xf numFmtId="3" fontId="8" fillId="2" borderId="24" xfId="3" applyNumberFormat="1" applyFont="1" applyFill="1" applyBorder="1"/>
    <xf numFmtId="3" fontId="6" fillId="0" borderId="22" xfId="36" applyNumberFormat="1" applyFont="1" applyFill="1" applyBorder="1"/>
    <xf numFmtId="3" fontId="6" fillId="0" borderId="49" xfId="36" applyNumberFormat="1" applyFont="1" applyFill="1" applyBorder="1"/>
    <xf numFmtId="3" fontId="6" fillId="2" borderId="21" xfId="3" applyNumberFormat="1" applyFill="1" applyBorder="1"/>
    <xf numFmtId="3" fontId="6" fillId="2" borderId="22" xfId="3" applyNumberFormat="1" applyFill="1" applyBorder="1"/>
    <xf numFmtId="3" fontId="6" fillId="2" borderId="23" xfId="3" applyNumberFormat="1" applyFill="1" applyBorder="1"/>
    <xf numFmtId="3" fontId="6" fillId="5" borderId="24" xfId="3" applyNumberFormat="1" applyFill="1" applyBorder="1" applyAlignment="1">
      <alignment horizontal="left" indent="1"/>
    </xf>
    <xf numFmtId="3" fontId="6" fillId="0" borderId="23" xfId="3" applyNumberFormat="1" applyBorder="1"/>
    <xf numFmtId="3" fontId="6" fillId="0" borderId="21" xfId="3" applyNumberFormat="1" applyBorder="1"/>
    <xf numFmtId="3" fontId="6" fillId="0" borderId="22" xfId="0" applyNumberFormat="1" applyFont="1" applyBorder="1"/>
    <xf numFmtId="3" fontId="6" fillId="0" borderId="22" xfId="3" applyNumberFormat="1" applyBorder="1"/>
    <xf numFmtId="3" fontId="6" fillId="0" borderId="49" xfId="3" applyNumberFormat="1" applyBorder="1"/>
    <xf numFmtId="3" fontId="6" fillId="0" borderId="18" xfId="3" applyNumberFormat="1" applyBorder="1"/>
    <xf numFmtId="3" fontId="6" fillId="5" borderId="53" xfId="3" applyNumberFormat="1" applyFill="1" applyBorder="1" applyAlignment="1">
      <alignment horizontal="left" indent="1"/>
    </xf>
    <xf numFmtId="3" fontId="6" fillId="2" borderId="49" xfId="3" applyNumberFormat="1" applyFill="1" applyBorder="1"/>
    <xf numFmtId="3" fontId="8" fillId="2" borderId="24" xfId="0" applyNumberFormat="1" applyFont="1" applyFill="1" applyBorder="1"/>
    <xf numFmtId="167" fontId="6" fillId="0" borderId="23" xfId="3" applyNumberFormat="1" applyBorder="1"/>
    <xf numFmtId="167" fontId="6" fillId="0" borderId="21" xfId="3" applyNumberFormat="1" applyBorder="1"/>
    <xf numFmtId="3" fontId="0" fillId="2" borderId="23" xfId="0" applyNumberFormat="1" applyFill="1" applyBorder="1"/>
    <xf numFmtId="1" fontId="6" fillId="0" borderId="13" xfId="3" applyNumberFormat="1" applyBorder="1" applyAlignment="1">
      <alignment vertical="center"/>
    </xf>
    <xf numFmtId="1" fontId="6" fillId="0" borderId="16" xfId="3" applyNumberFormat="1" applyBorder="1" applyAlignment="1">
      <alignment vertical="center"/>
    </xf>
    <xf numFmtId="3" fontId="0" fillId="0" borderId="0" xfId="0" applyNumberFormat="1"/>
    <xf numFmtId="1" fontId="6" fillId="2" borderId="2" xfId="0" applyNumberFormat="1" applyFont="1" applyFill="1" applyBorder="1"/>
    <xf numFmtId="1" fontId="0" fillId="2" borderId="3" xfId="0" applyNumberFormat="1" applyFill="1" applyBorder="1"/>
    <xf numFmtId="0" fontId="0" fillId="2" borderId="3" xfId="0" applyFill="1" applyBorder="1"/>
    <xf numFmtId="1" fontId="0" fillId="2" borderId="0" xfId="0" applyNumberFormat="1" applyFill="1"/>
    <xf numFmtId="1" fontId="10" fillId="2" borderId="0" xfId="0" applyNumberFormat="1" applyFont="1" applyFill="1" applyAlignment="1">
      <alignment vertical="center"/>
    </xf>
    <xf numFmtId="1" fontId="6" fillId="2" borderId="4" xfId="0" applyNumberFormat="1" applyFont="1" applyFill="1" applyBorder="1"/>
    <xf numFmtId="1" fontId="0" fillId="0" borderId="0" xfId="0" applyNumberFormat="1" applyAlignment="1">
      <alignment horizontal="right"/>
    </xf>
    <xf numFmtId="1" fontId="6" fillId="0" borderId="5" xfId="0" applyNumberFormat="1" applyFont="1" applyBorder="1"/>
    <xf numFmtId="1" fontId="6" fillId="2" borderId="6" xfId="0" applyNumberFormat="1" applyFont="1" applyFill="1" applyBorder="1"/>
    <xf numFmtId="1" fontId="0" fillId="2" borderId="7" xfId="0" applyNumberFormat="1" applyFill="1" applyBorder="1"/>
    <xf numFmtId="0" fontId="0" fillId="2" borderId="7" xfId="0" applyFill="1" applyBorder="1"/>
    <xf numFmtId="1" fontId="0" fillId="2" borderId="8" xfId="0" applyNumberFormat="1" applyFill="1" applyBorder="1"/>
    <xf numFmtId="166" fontId="0" fillId="2" borderId="0" xfId="0" applyNumberFormat="1" applyFill="1"/>
    <xf numFmtId="2" fontId="0" fillId="2" borderId="0" xfId="0" applyNumberFormat="1" applyFill="1"/>
    <xf numFmtId="1" fontId="15" fillId="2" borderId="45" xfId="0" applyNumberFormat="1" applyFont="1" applyFill="1" applyBorder="1"/>
    <xf numFmtId="49" fontId="0" fillId="2" borderId="42" xfId="0" applyNumberFormat="1" applyFill="1" applyBorder="1" applyAlignment="1">
      <alignment horizontal="center" textRotation="90" wrapText="1"/>
    </xf>
    <xf numFmtId="49" fontId="0" fillId="2" borderId="43" xfId="0" applyNumberFormat="1" applyFill="1" applyBorder="1" applyAlignment="1">
      <alignment horizontal="center" textRotation="90" wrapText="1"/>
    </xf>
    <xf numFmtId="49" fontId="6" fillId="2" borderId="43" xfId="0" applyNumberFormat="1" applyFont="1" applyFill="1" applyBorder="1" applyAlignment="1">
      <alignment horizontal="center" textRotation="90" wrapText="1"/>
    </xf>
    <xf numFmtId="49" fontId="6" fillId="2" borderId="44" xfId="0" applyNumberFormat="1" applyFont="1" applyFill="1" applyBorder="1" applyAlignment="1">
      <alignment horizontal="center" textRotation="90" wrapText="1"/>
    </xf>
    <xf numFmtId="49" fontId="23" fillId="0" borderId="46" xfId="3" applyNumberFormat="1" applyFont="1" applyBorder="1" applyAlignment="1">
      <alignment horizontal="center" vertical="center" wrapText="1"/>
    </xf>
    <xf numFmtId="49" fontId="6" fillId="2" borderId="42" xfId="0" applyNumberFormat="1" applyFont="1" applyFill="1" applyBorder="1" applyAlignment="1">
      <alignment horizontal="center" textRotation="90" wrapText="1" readingOrder="1"/>
    </xf>
    <xf numFmtId="49" fontId="6" fillId="2" borderId="42" xfId="0" applyNumberFormat="1" applyFont="1" applyFill="1" applyBorder="1" applyAlignment="1">
      <alignment horizontal="center" textRotation="90" wrapText="1"/>
    </xf>
    <xf numFmtId="49" fontId="8" fillId="2" borderId="46" xfId="0" applyNumberFormat="1" applyFont="1" applyFill="1" applyBorder="1" applyAlignment="1">
      <alignment horizontal="center" textRotation="90" wrapText="1"/>
    </xf>
    <xf numFmtId="49" fontId="6" fillId="2" borderId="47" xfId="0" applyNumberFormat="1" applyFont="1" applyFill="1" applyBorder="1" applyAlignment="1">
      <alignment horizontal="center" textRotation="90" wrapText="1"/>
    </xf>
    <xf numFmtId="49" fontId="6" fillId="2" borderId="48" xfId="0" applyNumberFormat="1" applyFont="1" applyFill="1" applyBorder="1" applyAlignment="1">
      <alignment horizontal="center" textRotation="90" wrapText="1"/>
    </xf>
    <xf numFmtId="0" fontId="0" fillId="2" borderId="0" xfId="0" applyFill="1" applyAlignment="1">
      <alignment textRotation="90" wrapText="1"/>
    </xf>
    <xf numFmtId="3" fontId="0" fillId="2" borderId="21" xfId="0" applyNumberFormat="1" applyFill="1" applyBorder="1"/>
    <xf numFmtId="3" fontId="0" fillId="2" borderId="22" xfId="0" applyNumberFormat="1" applyFill="1" applyBorder="1"/>
    <xf numFmtId="3" fontId="0" fillId="0" borderId="21" xfId="0" applyNumberFormat="1" applyBorder="1"/>
    <xf numFmtId="3" fontId="0" fillId="0" borderId="23" xfId="0" applyNumberFormat="1" applyBorder="1"/>
    <xf numFmtId="3" fontId="8" fillId="0" borderId="24" xfId="0" applyNumberFormat="1" applyFont="1" applyBorder="1"/>
    <xf numFmtId="3" fontId="0" fillId="0" borderId="22" xfId="0" applyNumberFormat="1" applyBorder="1"/>
    <xf numFmtId="3" fontId="0" fillId="0" borderId="49" xfId="0" applyNumberFormat="1" applyBorder="1"/>
    <xf numFmtId="169" fontId="25" fillId="2" borderId="0" xfId="0" applyNumberFormat="1" applyFont="1" applyFill="1"/>
    <xf numFmtId="169" fontId="0" fillId="2" borderId="0" xfId="0" quotePrefix="1" applyNumberFormat="1" applyFill="1"/>
    <xf numFmtId="3" fontId="0" fillId="0" borderId="30" xfId="0" applyNumberFormat="1" applyBorder="1"/>
    <xf numFmtId="0" fontId="6" fillId="2" borderId="0" xfId="0" applyFont="1" applyFill="1"/>
    <xf numFmtId="3" fontId="0" fillId="2" borderId="17" xfId="0" applyNumberFormat="1" applyFill="1" applyBorder="1"/>
    <xf numFmtId="3" fontId="0" fillId="2" borderId="18" xfId="0" applyNumberFormat="1" applyFill="1" applyBorder="1"/>
    <xf numFmtId="3" fontId="0" fillId="0" borderId="18" xfId="0" applyNumberFormat="1" applyBorder="1"/>
    <xf numFmtId="3" fontId="0" fillId="2" borderId="19" xfId="0" applyNumberFormat="1" applyFill="1" applyBorder="1"/>
    <xf numFmtId="3" fontId="0" fillId="0" borderId="52" xfId="0" applyNumberFormat="1" applyBorder="1"/>
    <xf numFmtId="3" fontId="0" fillId="0" borderId="19" xfId="0" applyNumberFormat="1" applyBorder="1"/>
    <xf numFmtId="3" fontId="0" fillId="2" borderId="49" xfId="0" applyNumberFormat="1" applyFill="1" applyBorder="1"/>
    <xf numFmtId="3" fontId="0" fillId="5" borderId="24" xfId="0" applyNumberFormat="1" applyFill="1" applyBorder="1" applyAlignment="1">
      <alignment horizontal="left" indent="1"/>
    </xf>
    <xf numFmtId="1" fontId="0" fillId="0" borderId="0" xfId="0" applyNumberFormat="1"/>
    <xf numFmtId="3" fontId="0" fillId="5" borderId="25" xfId="0" applyNumberFormat="1" applyFill="1" applyBorder="1" applyAlignment="1">
      <alignment horizontal="left" indent="1"/>
    </xf>
    <xf numFmtId="3" fontId="0" fillId="2" borderId="27" xfId="0" applyNumberFormat="1" applyFill="1" applyBorder="1"/>
    <xf numFmtId="3" fontId="0" fillId="2" borderId="28" xfId="0" applyNumberFormat="1" applyFill="1" applyBorder="1"/>
    <xf numFmtId="3" fontId="0" fillId="0" borderId="28" xfId="0" applyNumberFormat="1" applyBorder="1"/>
    <xf numFmtId="3" fontId="0" fillId="5" borderId="29" xfId="0" applyNumberFormat="1" applyFill="1" applyBorder="1" applyAlignment="1">
      <alignment horizontal="left" indent="1"/>
    </xf>
    <xf numFmtId="3" fontId="0" fillId="2" borderId="30" xfId="0" applyNumberFormat="1" applyFill="1" applyBorder="1"/>
    <xf numFmtId="3" fontId="6" fillId="2" borderId="50" xfId="0" applyNumberFormat="1" applyFont="1" applyFill="1" applyBorder="1"/>
    <xf numFmtId="3" fontId="0" fillId="2" borderId="50" xfId="0" applyNumberFormat="1" applyFill="1" applyBorder="1"/>
    <xf numFmtId="3" fontId="6" fillId="0" borderId="22" xfId="3" applyNumberFormat="1" applyBorder="1" applyAlignment="1">
      <alignment horizontal="right"/>
    </xf>
    <xf numFmtId="3" fontId="0" fillId="5" borderId="31" xfId="0" applyNumberFormat="1" applyFill="1" applyBorder="1" applyAlignment="1">
      <alignment horizontal="left" indent="1"/>
    </xf>
    <xf numFmtId="3" fontId="0" fillId="2" borderId="33" xfId="0" applyNumberFormat="1" applyFill="1" applyBorder="1"/>
    <xf numFmtId="3" fontId="0" fillId="2" borderId="34" xfId="0" applyNumberFormat="1" applyFill="1" applyBorder="1"/>
    <xf numFmtId="3" fontId="8" fillId="2" borderId="31" xfId="0" applyNumberFormat="1" applyFont="1" applyFill="1" applyBorder="1"/>
    <xf numFmtId="3" fontId="0" fillId="2" borderId="51" xfId="0" applyNumberFormat="1" applyFill="1" applyBorder="1"/>
    <xf numFmtId="3" fontId="0" fillId="2" borderId="1" xfId="0" applyNumberFormat="1" applyFill="1" applyBorder="1"/>
    <xf numFmtId="3" fontId="0" fillId="2" borderId="13" xfId="0" applyNumberFormat="1" applyFill="1" applyBorder="1"/>
    <xf numFmtId="3" fontId="0" fillId="2" borderId="14" xfId="0" applyNumberFormat="1" applyFill="1" applyBorder="1"/>
    <xf numFmtId="3" fontId="8" fillId="2" borderId="11" xfId="0" applyNumberFormat="1" applyFont="1" applyFill="1" applyBorder="1"/>
    <xf numFmtId="3" fontId="0" fillId="2" borderId="10" xfId="0" applyNumberFormat="1" applyFill="1" applyBorder="1"/>
    <xf numFmtId="3" fontId="0" fillId="2" borderId="15" xfId="0" applyNumberFormat="1" applyFill="1" applyBorder="1"/>
    <xf numFmtId="3" fontId="8" fillId="2" borderId="20" xfId="0" applyNumberFormat="1" applyFont="1" applyFill="1" applyBorder="1"/>
    <xf numFmtId="167" fontId="0" fillId="2" borderId="35" xfId="0" applyNumberFormat="1" applyFill="1" applyBorder="1"/>
    <xf numFmtId="3" fontId="0" fillId="2" borderId="35" xfId="0" applyNumberFormat="1" applyFill="1" applyBorder="1"/>
    <xf numFmtId="3" fontId="0" fillId="2" borderId="36" xfId="0" applyNumberFormat="1" applyFill="1" applyBorder="1"/>
    <xf numFmtId="3" fontId="0" fillId="2" borderId="0" xfId="0" applyNumberFormat="1" applyFill="1"/>
    <xf numFmtId="3" fontId="0" fillId="2" borderId="37" xfId="0" applyNumberFormat="1" applyFill="1" applyBorder="1"/>
    <xf numFmtId="3" fontId="0" fillId="2" borderId="25" xfId="0" applyNumberFormat="1" applyFill="1" applyBorder="1"/>
    <xf numFmtId="167" fontId="0" fillId="0" borderId="59" xfId="0" applyNumberFormat="1" applyBorder="1"/>
    <xf numFmtId="3" fontId="0" fillId="2" borderId="38" xfId="0" applyNumberFormat="1" applyFill="1" applyBorder="1"/>
    <xf numFmtId="3" fontId="0" fillId="2" borderId="39" xfId="0" applyNumberFormat="1" applyFill="1" applyBorder="1"/>
    <xf numFmtId="1" fontId="6" fillId="0" borderId="54" xfId="4" applyNumberFormat="1" applyFont="1" applyFill="1" applyBorder="1" applyAlignment="1">
      <alignment horizontal="center" textRotation="90"/>
    </xf>
    <xf numFmtId="1" fontId="6" fillId="0" borderId="55" xfId="4" applyNumberFormat="1" applyFont="1" applyFill="1" applyBorder="1" applyAlignment="1">
      <alignment horizontal="center" textRotation="90"/>
    </xf>
    <xf numFmtId="1" fontId="6" fillId="0" borderId="42" xfId="3" applyNumberFormat="1" applyBorder="1" applyAlignment="1">
      <alignment horizontal="center" textRotation="90"/>
    </xf>
    <xf numFmtId="1" fontId="6" fillId="0" borderId="1" xfId="3" applyNumberFormat="1" applyBorder="1" applyAlignment="1">
      <alignment vertical="center"/>
    </xf>
    <xf numFmtId="1" fontId="6" fillId="2" borderId="9" xfId="0" applyNumberFormat="1" applyFont="1" applyFill="1" applyBorder="1" applyAlignment="1">
      <alignment horizontal="left"/>
    </xf>
    <xf numFmtId="1" fontId="0" fillId="2" borderId="12" xfId="0" applyNumberFormat="1" applyFill="1" applyBorder="1" applyAlignment="1">
      <alignment horizontal="left"/>
    </xf>
    <xf numFmtId="180" fontId="0" fillId="2" borderId="0" xfId="0" applyNumberFormat="1" applyFill="1"/>
    <xf numFmtId="167" fontId="0" fillId="2" borderId="0" xfId="0" applyNumberFormat="1" applyFill="1"/>
    <xf numFmtId="167" fontId="0" fillId="0" borderId="0" xfId="0" applyNumberFormat="1"/>
    <xf numFmtId="4" fontId="0" fillId="2" borderId="0" xfId="0" applyNumberFormat="1" applyFill="1"/>
    <xf numFmtId="0" fontId="6" fillId="0" borderId="0" xfId="3"/>
    <xf numFmtId="0" fontId="22" fillId="0" borderId="0" xfId="3" applyFont="1"/>
    <xf numFmtId="1" fontId="6" fillId="0" borderId="22" xfId="3" applyNumberFormat="1" applyBorder="1"/>
    <xf numFmtId="3" fontId="6" fillId="0" borderId="0" xfId="3" applyNumberFormat="1"/>
    <xf numFmtId="2" fontId="6" fillId="0" borderId="0" xfId="3" applyNumberFormat="1"/>
    <xf numFmtId="0" fontId="8" fillId="0" borderId="22" xfId="3" applyFont="1" applyBorder="1"/>
    <xf numFmtId="0" fontId="8" fillId="0" borderId="22" xfId="3" applyFont="1" applyBorder="1" applyAlignment="1">
      <alignment horizontal="center"/>
    </xf>
    <xf numFmtId="0" fontId="6" fillId="0" borderId="57" xfId="3" applyBorder="1"/>
    <xf numFmtId="0" fontId="8" fillId="0" borderId="57" xfId="3" applyFont="1" applyBorder="1"/>
    <xf numFmtId="0" fontId="6" fillId="0" borderId="22" xfId="3" applyBorder="1"/>
    <xf numFmtId="3" fontId="8" fillId="0" borderId="0" xfId="3" applyNumberFormat="1" applyFont="1"/>
    <xf numFmtId="1" fontId="6" fillId="2" borderId="2" xfId="3" applyNumberFormat="1" applyFill="1" applyBorder="1"/>
    <xf numFmtId="1" fontId="6" fillId="2" borderId="3" xfId="3" applyNumberFormat="1" applyFill="1" applyBorder="1"/>
    <xf numFmtId="1" fontId="10" fillId="2" borderId="0" xfId="3" applyNumberFormat="1" applyFont="1" applyFill="1" applyAlignment="1">
      <alignment vertical="center"/>
    </xf>
    <xf numFmtId="1" fontId="10" fillId="0" borderId="0" xfId="3" applyNumberFormat="1" applyFont="1" applyAlignment="1">
      <alignment vertical="center"/>
    </xf>
    <xf numFmtId="1" fontId="6" fillId="2" borderId="4" xfId="3" applyNumberFormat="1" applyFill="1" applyBorder="1"/>
    <xf numFmtId="1" fontId="6" fillId="0" borderId="0" xfId="3" applyNumberFormat="1" applyAlignment="1">
      <alignment horizontal="right"/>
    </xf>
    <xf numFmtId="1" fontId="6" fillId="2" borderId="5" xfId="3" applyNumberFormat="1" applyFill="1" applyBorder="1"/>
    <xf numFmtId="1" fontId="6" fillId="2" borderId="6" xfId="3" applyNumberFormat="1" applyFill="1" applyBorder="1"/>
    <xf numFmtId="1" fontId="6" fillId="2" borderId="8" xfId="3" applyNumberFormat="1" applyFill="1" applyBorder="1"/>
    <xf numFmtId="1" fontId="6" fillId="0" borderId="0" xfId="3" applyNumberFormat="1"/>
    <xf numFmtId="1" fontId="15" fillId="2" borderId="45" xfId="3" applyNumberFormat="1" applyFont="1" applyFill="1" applyBorder="1"/>
    <xf numFmtId="49" fontId="6" fillId="2" borderId="42" xfId="3" applyNumberFormat="1" applyFill="1" applyBorder="1" applyAlignment="1">
      <alignment horizontal="center" textRotation="90" wrapText="1"/>
    </xf>
    <xf numFmtId="49" fontId="6" fillId="2" borderId="43" xfId="3" applyNumberFormat="1" applyFill="1" applyBorder="1" applyAlignment="1">
      <alignment horizontal="center" textRotation="90" wrapText="1"/>
    </xf>
    <xf numFmtId="49" fontId="6" fillId="2" borderId="44" xfId="3" applyNumberFormat="1" applyFill="1" applyBorder="1" applyAlignment="1">
      <alignment horizontal="center" textRotation="90" wrapText="1"/>
    </xf>
    <xf numFmtId="49" fontId="23" fillId="0" borderId="46" xfId="3" applyNumberFormat="1" applyFont="1" applyBorder="1" applyAlignment="1">
      <alignment horizontal="center" wrapText="1"/>
    </xf>
    <xf numFmtId="49" fontId="6" fillId="2" borderId="42" xfId="3" applyNumberFormat="1" applyFill="1" applyBorder="1" applyAlignment="1">
      <alignment horizontal="center" textRotation="90" wrapText="1" readingOrder="1"/>
    </xf>
    <xf numFmtId="49" fontId="6" fillId="0" borderId="44" xfId="3" applyNumberFormat="1" applyBorder="1" applyAlignment="1">
      <alignment horizontal="center" textRotation="90" wrapText="1"/>
    </xf>
    <xf numFmtId="49" fontId="8" fillId="2" borderId="46" xfId="3" applyNumberFormat="1" applyFont="1" applyFill="1" applyBorder="1" applyAlignment="1">
      <alignment horizontal="center" textRotation="90" wrapText="1"/>
    </xf>
    <xf numFmtId="49" fontId="6" fillId="2" borderId="47" xfId="3" applyNumberFormat="1" applyFill="1" applyBorder="1" applyAlignment="1">
      <alignment horizontal="center" textRotation="90" wrapText="1"/>
    </xf>
    <xf numFmtId="49" fontId="6" fillId="2" borderId="48" xfId="3" applyNumberFormat="1" applyFill="1" applyBorder="1" applyAlignment="1">
      <alignment horizontal="center" textRotation="90" wrapText="1"/>
    </xf>
    <xf numFmtId="0" fontId="6" fillId="2" borderId="0" xfId="3" applyFill="1" applyAlignment="1">
      <alignment textRotation="90" wrapText="1"/>
    </xf>
    <xf numFmtId="169" fontId="25" fillId="2" borderId="0" xfId="3" applyNumberFormat="1" applyFont="1" applyFill="1"/>
    <xf numFmtId="169" fontId="6" fillId="2" borderId="0" xfId="3" quotePrefix="1" applyNumberFormat="1" applyFill="1"/>
    <xf numFmtId="3" fontId="6" fillId="2" borderId="17" xfId="3" applyNumberFormat="1" applyFill="1" applyBorder="1"/>
    <xf numFmtId="3" fontId="6" fillId="2" borderId="18" xfId="3" applyNumberFormat="1" applyFill="1" applyBorder="1"/>
    <xf numFmtId="3" fontId="6" fillId="2" borderId="19" xfId="3" applyNumberFormat="1" applyFill="1" applyBorder="1"/>
    <xf numFmtId="3" fontId="6" fillId="0" borderId="19" xfId="3" applyNumberFormat="1" applyBorder="1"/>
    <xf numFmtId="166" fontId="6" fillId="2" borderId="0" xfId="3" applyNumberFormat="1" applyFill="1"/>
    <xf numFmtId="3" fontId="6" fillId="0" borderId="22" xfId="7" applyNumberFormat="1" applyFont="1" applyFill="1" applyBorder="1"/>
    <xf numFmtId="1" fontId="6" fillId="2" borderId="22" xfId="3" applyNumberFormat="1" applyFill="1" applyBorder="1"/>
    <xf numFmtId="3" fontId="0" fillId="0" borderId="22" xfId="7" applyNumberFormat="1" applyFont="1" applyFill="1" applyBorder="1"/>
    <xf numFmtId="3" fontId="6" fillId="2" borderId="0" xfId="3" applyNumberFormat="1" applyFill="1"/>
    <xf numFmtId="3" fontId="6" fillId="5" borderId="25" xfId="3" applyNumberFormat="1" applyFill="1" applyBorder="1" applyAlignment="1">
      <alignment horizontal="left" indent="1"/>
    </xf>
    <xf numFmtId="3" fontId="6" fillId="2" borderId="26" xfId="3" applyNumberFormat="1" applyFill="1" applyBorder="1"/>
    <xf numFmtId="3" fontId="6" fillId="2" borderId="27" xfId="3" applyNumberFormat="1" applyFill="1" applyBorder="1"/>
    <xf numFmtId="3" fontId="6" fillId="2" borderId="28" xfId="3" applyNumberFormat="1" applyFill="1" applyBorder="1"/>
    <xf numFmtId="3" fontId="6" fillId="0" borderId="28" xfId="3" applyNumberFormat="1" applyBorder="1"/>
    <xf numFmtId="3" fontId="6" fillId="5" borderId="29" xfId="3" applyNumberFormat="1" applyFill="1" applyBorder="1" applyAlignment="1">
      <alignment horizontal="left" indent="1"/>
    </xf>
    <xf numFmtId="3" fontId="6" fillId="0" borderId="30" xfId="3" applyNumberFormat="1" applyBorder="1"/>
    <xf numFmtId="3" fontId="6" fillId="2" borderId="30" xfId="3" applyNumberFormat="1" applyFill="1" applyBorder="1"/>
    <xf numFmtId="3" fontId="6" fillId="2" borderId="50" xfId="3" applyNumberFormat="1" applyFill="1" applyBorder="1"/>
    <xf numFmtId="3" fontId="6" fillId="5" borderId="31" xfId="3" applyNumberFormat="1" applyFill="1" applyBorder="1" applyAlignment="1">
      <alignment horizontal="left" indent="1"/>
    </xf>
    <xf numFmtId="3" fontId="6" fillId="2" borderId="32" xfId="3" applyNumberFormat="1" applyFill="1" applyBorder="1"/>
    <xf numFmtId="3" fontId="6" fillId="2" borderId="33" xfId="3" applyNumberFormat="1" applyFill="1" applyBorder="1"/>
    <xf numFmtId="3" fontId="6" fillId="0" borderId="34" xfId="3" applyNumberFormat="1" applyBorder="1"/>
    <xf numFmtId="3" fontId="6" fillId="2" borderId="34" xfId="3" applyNumberFormat="1" applyFill="1" applyBorder="1"/>
    <xf numFmtId="3" fontId="8" fillId="2" borderId="31" xfId="3" applyNumberFormat="1" applyFont="1" applyFill="1" applyBorder="1"/>
    <xf numFmtId="3" fontId="6" fillId="2" borderId="51" xfId="3" applyNumberFormat="1" applyFill="1" applyBorder="1"/>
    <xf numFmtId="3" fontId="6" fillId="2" borderId="1" xfId="3" applyNumberFormat="1" applyFill="1" applyBorder="1"/>
    <xf numFmtId="3" fontId="6" fillId="2" borderId="13" xfId="3" applyNumberFormat="1" applyFill="1" applyBorder="1"/>
    <xf numFmtId="3" fontId="6" fillId="2" borderId="14" xfId="3" applyNumberFormat="1" applyFill="1" applyBorder="1"/>
    <xf numFmtId="3" fontId="8" fillId="2" borderId="11" xfId="3" applyNumberFormat="1" applyFont="1" applyFill="1" applyBorder="1"/>
    <xf numFmtId="3" fontId="6" fillId="2" borderId="10" xfId="3" applyNumberFormat="1" applyFill="1" applyBorder="1"/>
    <xf numFmtId="3" fontId="6" fillId="0" borderId="10" xfId="3" applyNumberFormat="1" applyBorder="1"/>
    <xf numFmtId="3" fontId="6" fillId="2" borderId="15" xfId="3" applyNumberFormat="1" applyFill="1" applyBorder="1"/>
    <xf numFmtId="3" fontId="8" fillId="2" borderId="20" xfId="3" applyNumberFormat="1" applyFont="1" applyFill="1" applyBorder="1"/>
    <xf numFmtId="167" fontId="6" fillId="2" borderId="35" xfId="3" applyNumberFormat="1" applyFill="1" applyBorder="1"/>
    <xf numFmtId="3" fontId="6" fillId="2" borderId="35" xfId="3" applyNumberFormat="1" applyFill="1" applyBorder="1"/>
    <xf numFmtId="3" fontId="6" fillId="0" borderId="36" xfId="3" applyNumberFormat="1" applyBorder="1"/>
    <xf numFmtId="1" fontId="6" fillId="2" borderId="54" xfId="4" applyNumberFormat="1" applyFont="1" applyFill="1" applyBorder="1" applyAlignment="1">
      <alignment horizontal="center" textRotation="90"/>
    </xf>
    <xf numFmtId="166" fontId="6" fillId="2" borderId="55" xfId="4" applyNumberFormat="1" applyFont="1" applyFill="1" applyBorder="1" applyAlignment="1">
      <alignment horizontal="center" textRotation="90"/>
    </xf>
    <xf numFmtId="1" fontId="6" fillId="2" borderId="42" xfId="3" applyNumberFormat="1" applyFill="1" applyBorder="1" applyAlignment="1">
      <alignment horizontal="center" textRotation="90"/>
    </xf>
    <xf numFmtId="1" fontId="6" fillId="2" borderId="13" xfId="3" applyNumberFormat="1" applyFill="1" applyBorder="1" applyAlignment="1">
      <alignment vertical="center"/>
    </xf>
    <xf numFmtId="1" fontId="6" fillId="2" borderId="16" xfId="3" applyNumberFormat="1" applyFill="1" applyBorder="1" applyAlignment="1">
      <alignment vertical="center"/>
    </xf>
    <xf numFmtId="1" fontId="6" fillId="2" borderId="9" xfId="3" applyNumberFormat="1" applyFill="1" applyBorder="1" applyAlignment="1">
      <alignment horizontal="left" vertical="center"/>
    </xf>
    <xf numFmtId="1" fontId="6" fillId="2" borderId="12" xfId="3" applyNumberFormat="1" applyFill="1" applyBorder="1" applyAlignment="1">
      <alignment horizontal="left" vertical="center"/>
    </xf>
    <xf numFmtId="1" fontId="6" fillId="2" borderId="0" xfId="3" applyNumberFormat="1" applyFill="1" applyAlignment="1">
      <alignment vertical="center"/>
    </xf>
    <xf numFmtId="1" fontId="6" fillId="0" borderId="0" xfId="3" applyNumberFormat="1" applyAlignment="1">
      <alignment vertical="center"/>
    </xf>
    <xf numFmtId="0" fontId="6" fillId="2" borderId="0" xfId="3" applyFill="1" applyAlignment="1">
      <alignment vertical="center"/>
    </xf>
    <xf numFmtId="166" fontId="6" fillId="0" borderId="0" xfId="3" applyNumberFormat="1"/>
    <xf numFmtId="0" fontId="7" fillId="2" borderId="0" xfId="3" applyFont="1" applyFill="1"/>
    <xf numFmtId="1" fontId="15" fillId="2" borderId="45" xfId="0" applyNumberFormat="1" applyFont="1" applyFill="1" applyBorder="1" applyAlignment="1">
      <alignment horizontal="center"/>
    </xf>
    <xf numFmtId="3" fontId="0" fillId="7" borderId="22" xfId="0" applyNumberFormat="1" applyFill="1" applyBorder="1"/>
    <xf numFmtId="1" fontId="6" fillId="7" borderId="55" xfId="4" applyNumberFormat="1" applyFont="1" applyFill="1" applyBorder="1" applyAlignment="1">
      <alignment horizontal="center" textRotation="90"/>
    </xf>
    <xf numFmtId="1" fontId="6" fillId="7" borderId="1" xfId="3" applyNumberFormat="1" applyFill="1" applyBorder="1" applyAlignment="1">
      <alignment vertical="center"/>
    </xf>
    <xf numFmtId="0" fontId="8" fillId="2" borderId="22" xfId="3" applyFont="1" applyFill="1" applyBorder="1"/>
    <xf numFmtId="0" fontId="22" fillId="2" borderId="0" xfId="0" applyFont="1" applyFill="1"/>
    <xf numFmtId="0" fontId="8" fillId="2" borderId="0" xfId="0" applyFont="1" applyFill="1"/>
    <xf numFmtId="1" fontId="22" fillId="2" borderId="0" xfId="0" applyNumberFormat="1" applyFont="1" applyFill="1"/>
    <xf numFmtId="0" fontId="8" fillId="0" borderId="0" xfId="3" applyFont="1"/>
    <xf numFmtId="3" fontId="0" fillId="8" borderId="28" xfId="0" applyNumberFormat="1" applyFill="1" applyBorder="1"/>
    <xf numFmtId="3" fontId="6" fillId="8" borderId="22" xfId="3" applyNumberFormat="1" applyFill="1" applyBorder="1" applyAlignment="1">
      <alignment horizontal="right"/>
    </xf>
    <xf numFmtId="3" fontId="0" fillId="8" borderId="23" xfId="0" applyNumberFormat="1" applyFill="1" applyBorder="1"/>
    <xf numFmtId="3" fontId="0" fillId="8" borderId="22" xfId="0" applyNumberFormat="1" applyFill="1" applyBorder="1"/>
    <xf numFmtId="3" fontId="6" fillId="8" borderId="22" xfId="3" applyNumberFormat="1" applyFill="1" applyBorder="1"/>
    <xf numFmtId="0" fontId="0" fillId="2" borderId="22" xfId="0" applyFill="1" applyBorder="1"/>
    <xf numFmtId="0" fontId="8" fillId="2" borderId="22" xfId="0" applyFont="1" applyFill="1" applyBorder="1"/>
    <xf numFmtId="0" fontId="6" fillId="2" borderId="57" xfId="3" applyFill="1" applyBorder="1" applyAlignment="1" applyProtection="1">
      <alignment horizontal="left"/>
      <protection locked="0"/>
    </xf>
    <xf numFmtId="1" fontId="0" fillId="2" borderId="22" xfId="0" applyNumberFormat="1" applyFill="1" applyBorder="1"/>
    <xf numFmtId="0" fontId="8" fillId="9" borderId="22" xfId="3" applyFont="1" applyFill="1" applyBorder="1" applyAlignment="1" applyProtection="1">
      <alignment horizontal="left"/>
      <protection locked="0"/>
    </xf>
    <xf numFmtId="1" fontId="8" fillId="9" borderId="22" xfId="3" applyNumberFormat="1" applyFont="1" applyFill="1" applyBorder="1" applyAlignment="1" applyProtection="1">
      <alignment horizontal="right"/>
      <protection locked="0"/>
    </xf>
    <xf numFmtId="1" fontId="8" fillId="9" borderId="22" xfId="0" applyNumberFormat="1" applyFont="1" applyFill="1" applyBorder="1"/>
    <xf numFmtId="0" fontId="26" fillId="2" borderId="0" xfId="3" applyFont="1" applyFill="1" applyAlignment="1" applyProtection="1">
      <alignment horizontal="left" wrapText="1"/>
      <protection locked="0"/>
    </xf>
    <xf numFmtId="0" fontId="6" fillId="2" borderId="0" xfId="3" applyFill="1" applyAlignment="1" applyProtection="1">
      <alignment horizontal="left" wrapText="1"/>
      <protection locked="0"/>
    </xf>
    <xf numFmtId="0" fontId="26" fillId="2" borderId="0" xfId="0" applyFont="1" applyFill="1"/>
    <xf numFmtId="0" fontId="8" fillId="2" borderId="22" xfId="3" applyFont="1" applyFill="1" applyBorder="1" applyAlignment="1">
      <alignment horizontal="center"/>
    </xf>
    <xf numFmtId="0" fontId="6" fillId="2" borderId="57" xfId="3" applyFill="1" applyBorder="1"/>
    <xf numFmtId="0" fontId="8" fillId="2" borderId="57" xfId="3" applyFont="1" applyFill="1" applyBorder="1"/>
    <xf numFmtId="3" fontId="0" fillId="2" borderId="22" xfId="5" applyNumberFormat="1" applyFont="1" applyFill="1" applyBorder="1"/>
    <xf numFmtId="9" fontId="6" fillId="2" borderId="0" xfId="4" applyFont="1" applyFill="1"/>
    <xf numFmtId="0" fontId="8" fillId="9" borderId="57" xfId="3" applyFont="1" applyFill="1" applyBorder="1"/>
    <xf numFmtId="3" fontId="8" fillId="9" borderId="57" xfId="3" applyNumberFormat="1" applyFont="1" applyFill="1" applyBorder="1"/>
    <xf numFmtId="3" fontId="8" fillId="9" borderId="22" xfId="3" applyNumberFormat="1" applyFont="1" applyFill="1" applyBorder="1"/>
    <xf numFmtId="166" fontId="8" fillId="2" borderId="22" xfId="0" applyNumberFormat="1" applyFont="1" applyFill="1" applyBorder="1"/>
    <xf numFmtId="170" fontId="0" fillId="2" borderId="0" xfId="0" applyNumberFormat="1" applyFill="1"/>
    <xf numFmtId="9" fontId="0" fillId="2" borderId="0" xfId="4" applyFont="1" applyFill="1"/>
    <xf numFmtId="3" fontId="6" fillId="2" borderId="22" xfId="0" applyNumberFormat="1" applyFont="1" applyFill="1" applyBorder="1"/>
    <xf numFmtId="0" fontId="6" fillId="2" borderId="22" xfId="0" applyFont="1" applyFill="1" applyBorder="1"/>
    <xf numFmtId="9" fontId="6" fillId="2" borderId="0" xfId="0" applyNumberFormat="1" applyFont="1" applyFill="1"/>
    <xf numFmtId="1" fontId="0" fillId="2" borderId="0" xfId="4" applyNumberFormat="1" applyFont="1" applyFill="1"/>
    <xf numFmtId="0" fontId="0" fillId="2" borderId="0" xfId="4" applyNumberFormat="1" applyFont="1" applyFill="1"/>
    <xf numFmtId="0" fontId="8" fillId="9" borderId="22" xfId="3" applyFont="1" applyFill="1" applyBorder="1"/>
    <xf numFmtId="3" fontId="8" fillId="2" borderId="0" xfId="3" applyNumberFormat="1" applyFont="1" applyFill="1"/>
    <xf numFmtId="3" fontId="8" fillId="2" borderId="0" xfId="4" applyNumberFormat="1" applyFont="1" applyFill="1"/>
    <xf numFmtId="0" fontId="10" fillId="0" borderId="0" xfId="3" applyFont="1" applyAlignment="1">
      <alignment horizontal="left"/>
    </xf>
    <xf numFmtId="0" fontId="10" fillId="3" borderId="0" xfId="3" applyFont="1" applyFill="1" applyAlignment="1">
      <alignment vertical="center"/>
    </xf>
    <xf numFmtId="181" fontId="6" fillId="0" borderId="22" xfId="3" applyNumberFormat="1" applyBorder="1"/>
    <xf numFmtId="181" fontId="6" fillId="0" borderId="0" xfId="3" applyNumberFormat="1"/>
    <xf numFmtId="1" fontId="8" fillId="0" borderId="22" xfId="3" applyNumberFormat="1" applyFont="1" applyBorder="1"/>
    <xf numFmtId="0" fontId="8" fillId="2" borderId="0" xfId="3" applyFont="1" applyFill="1" applyAlignment="1">
      <alignment horizontal="center"/>
    </xf>
    <xf numFmtId="0" fontId="8" fillId="2" borderId="0" xfId="3" applyFont="1" applyFill="1"/>
    <xf numFmtId="1" fontId="8" fillId="2" borderId="0" xfId="3" applyNumberFormat="1" applyFont="1" applyFill="1"/>
    <xf numFmtId="0" fontId="6" fillId="0" borderId="49" xfId="3" applyBorder="1"/>
    <xf numFmtId="0" fontId="6" fillId="0" borderId="18" xfId="3" applyBorder="1"/>
    <xf numFmtId="177" fontId="6" fillId="0" borderId="0" xfId="9" applyNumberFormat="1" applyFont="1" applyFill="1" applyBorder="1"/>
    <xf numFmtId="177" fontId="6" fillId="0" borderId="0" xfId="9" applyNumberFormat="1" applyFont="1" applyFill="1"/>
    <xf numFmtId="0" fontId="8" fillId="0" borderId="49" xfId="3" applyFont="1" applyBorder="1" applyAlignment="1">
      <alignment horizontal="center"/>
    </xf>
    <xf numFmtId="177" fontId="6" fillId="2" borderId="0" xfId="9" applyNumberFormat="1" applyFont="1" applyFill="1" applyBorder="1"/>
    <xf numFmtId="176" fontId="6" fillId="0" borderId="0" xfId="3" applyNumberFormat="1"/>
    <xf numFmtId="176" fontId="6" fillId="0" borderId="0" xfId="9" applyNumberFormat="1" applyFont="1" applyFill="1"/>
    <xf numFmtId="178" fontId="6" fillId="0" borderId="0" xfId="9" applyNumberFormat="1" applyFont="1" applyFill="1"/>
    <xf numFmtId="165" fontId="6" fillId="0" borderId="0" xfId="9" applyFont="1" applyFill="1"/>
    <xf numFmtId="0" fontId="8" fillId="0" borderId="22" xfId="3" applyFont="1" applyBorder="1" applyAlignment="1">
      <alignment horizontal="right"/>
    </xf>
    <xf numFmtId="0" fontId="6" fillId="0" borderId="0" xfId="3" applyAlignment="1">
      <alignment vertical="center"/>
    </xf>
    <xf numFmtId="0" fontId="6" fillId="0" borderId="0" xfId="3" applyAlignment="1">
      <alignment horizontal="right"/>
    </xf>
    <xf numFmtId="49" fontId="10" fillId="3" borderId="0" xfId="3" applyNumberFormat="1" applyFont="1" applyFill="1" applyAlignment="1">
      <alignment horizontal="left" vertical="center"/>
    </xf>
    <xf numFmtId="3" fontId="8" fillId="3" borderId="0" xfId="3" applyNumberFormat="1" applyFont="1" applyFill="1"/>
    <xf numFmtId="3" fontId="0" fillId="2" borderId="0" xfId="5" applyNumberFormat="1" applyFont="1" applyFill="1" applyBorder="1"/>
    <xf numFmtId="176" fontId="6" fillId="0" borderId="0" xfId="9" applyNumberFormat="1" applyFont="1" applyFill="1" applyBorder="1"/>
    <xf numFmtId="164" fontId="6" fillId="0" borderId="0" xfId="3" applyNumberFormat="1"/>
    <xf numFmtId="0" fontId="8" fillId="0" borderId="57" xfId="3" applyFont="1" applyBorder="1" applyAlignment="1">
      <alignment horizontal="center"/>
    </xf>
    <xf numFmtId="3" fontId="6" fillId="0" borderId="57" xfId="3" applyNumberFormat="1" applyBorder="1"/>
    <xf numFmtId="170" fontId="8" fillId="0" borderId="0" xfId="3" applyNumberFormat="1" applyFont="1"/>
    <xf numFmtId="0" fontId="8" fillId="0" borderId="22" xfId="3" applyFont="1" applyBorder="1" applyAlignment="1">
      <alignment horizontal="left"/>
    </xf>
    <xf numFmtId="1" fontId="8" fillId="0" borderId="22" xfId="3" applyNumberFormat="1" applyFont="1" applyBorder="1" applyAlignment="1">
      <alignment horizontal="left"/>
    </xf>
    <xf numFmtId="3" fontId="18" fillId="0" borderId="0" xfId="3" applyNumberFormat="1" applyFont="1"/>
    <xf numFmtId="167" fontId="6" fillId="0" borderId="0" xfId="3" applyNumberFormat="1"/>
    <xf numFmtId="0" fontId="8" fillId="3" borderId="0" xfId="3" applyFont="1" applyFill="1"/>
    <xf numFmtId="3" fontId="6" fillId="3" borderId="0" xfId="3" applyNumberFormat="1" applyFill="1"/>
    <xf numFmtId="179" fontId="6" fillId="0" borderId="0" xfId="3" applyNumberFormat="1"/>
    <xf numFmtId="173" fontId="6" fillId="0" borderId="0" xfId="3" applyNumberFormat="1"/>
    <xf numFmtId="1" fontId="6" fillId="0" borderId="57" xfId="3" applyNumberFormat="1" applyBorder="1"/>
    <xf numFmtId="3" fontId="6" fillId="0" borderId="22" xfId="3" quotePrefix="1" applyNumberFormat="1" applyBorder="1"/>
    <xf numFmtId="175" fontId="6" fillId="0" borderId="0" xfId="3" applyNumberFormat="1"/>
    <xf numFmtId="0" fontId="10" fillId="10" borderId="0" xfId="0" applyFont="1" applyFill="1"/>
    <xf numFmtId="0" fontId="0" fillId="10" borderId="0" xfId="0" applyFill="1"/>
    <xf numFmtId="0" fontId="10" fillId="10" borderId="0" xfId="3" applyFont="1" applyFill="1" applyAlignment="1" applyProtection="1">
      <alignment horizontal="left" wrapText="1"/>
      <protection locked="0"/>
    </xf>
    <xf numFmtId="2" fontId="10" fillId="10" borderId="0" xfId="0" applyNumberFormat="1" applyFont="1" applyFill="1"/>
    <xf numFmtId="0" fontId="0" fillId="2" borderId="37" xfId="0" applyFill="1" applyBorder="1"/>
    <xf numFmtId="0" fontId="0" fillId="2" borderId="49" xfId="0" applyFill="1" applyBorder="1"/>
    <xf numFmtId="0" fontId="0" fillId="2" borderId="64" xfId="0" applyFill="1" applyBorder="1"/>
    <xf numFmtId="0" fontId="0" fillId="2" borderId="50" xfId="0" applyFill="1" applyBorder="1"/>
    <xf numFmtId="0" fontId="0" fillId="2" borderId="45" xfId="0" applyFill="1" applyBorder="1"/>
    <xf numFmtId="0" fontId="0" fillId="2" borderId="52" xfId="0" applyFill="1" applyBorder="1"/>
    <xf numFmtId="0" fontId="0" fillId="2" borderId="57" xfId="0" applyFill="1" applyBorder="1"/>
    <xf numFmtId="0" fontId="8" fillId="2" borderId="57" xfId="0" applyFont="1" applyFill="1" applyBorder="1"/>
    <xf numFmtId="166" fontId="28" fillId="2" borderId="0" xfId="0" applyNumberFormat="1" applyFont="1" applyFill="1"/>
    <xf numFmtId="166" fontId="29" fillId="2" borderId="0" xfId="0" applyNumberFormat="1" applyFont="1" applyFill="1"/>
    <xf numFmtId="0" fontId="26" fillId="2" borderId="22" xfId="0" applyFont="1" applyFill="1" applyBorder="1"/>
    <xf numFmtId="0" fontId="30" fillId="2" borderId="22" xfId="0" applyFont="1" applyFill="1" applyBorder="1"/>
    <xf numFmtId="10" fontId="26" fillId="2" borderId="22" xfId="0" quotePrefix="1" applyNumberFormat="1" applyFont="1" applyFill="1" applyBorder="1" applyAlignment="1">
      <alignment horizontal="right"/>
    </xf>
    <xf numFmtId="3" fontId="0" fillId="8" borderId="49" xfId="0" applyNumberFormat="1" applyFill="1" applyBorder="1"/>
    <xf numFmtId="0" fontId="6" fillId="2" borderId="57" xfId="0" applyFont="1" applyFill="1" applyBorder="1"/>
    <xf numFmtId="171" fontId="0" fillId="2" borderId="37" xfId="38" applyNumberFormat="1" applyFont="1" applyFill="1" applyBorder="1"/>
    <xf numFmtId="171" fontId="0" fillId="2" borderId="37" xfId="0" applyNumberFormat="1" applyFill="1" applyBorder="1"/>
    <xf numFmtId="10" fontId="6" fillId="2" borderId="22" xfId="0" quotePrefix="1" applyNumberFormat="1" applyFont="1" applyFill="1" applyBorder="1"/>
    <xf numFmtId="0" fontId="6" fillId="2" borderId="65" xfId="0" applyFont="1" applyFill="1" applyBorder="1"/>
    <xf numFmtId="171" fontId="0" fillId="2" borderId="64" xfId="0" applyNumberFormat="1" applyFill="1" applyBorder="1"/>
    <xf numFmtId="0" fontId="6" fillId="2" borderId="66" xfId="0" applyFont="1" applyFill="1" applyBorder="1"/>
    <xf numFmtId="171" fontId="0" fillId="2" borderId="45" xfId="38" applyNumberFormat="1" applyFont="1" applyFill="1" applyBorder="1"/>
    <xf numFmtId="10" fontId="6" fillId="2" borderId="18" xfId="0" quotePrefix="1" applyNumberFormat="1" applyFont="1" applyFill="1" applyBorder="1"/>
    <xf numFmtId="171" fontId="6" fillId="2" borderId="49" xfId="38" applyNumberFormat="1" applyFont="1" applyFill="1" applyBorder="1" applyAlignment="1">
      <alignment horizontal="right"/>
    </xf>
    <xf numFmtId="0" fontId="0" fillId="2" borderId="22" xfId="0" applyFill="1" applyBorder="1" applyAlignment="1">
      <alignment horizontal="right"/>
    </xf>
    <xf numFmtId="0" fontId="8" fillId="2" borderId="22" xfId="0" applyFont="1" applyFill="1" applyBorder="1" applyAlignment="1">
      <alignment horizontal="right"/>
    </xf>
    <xf numFmtId="0" fontId="0" fillId="8" borderId="22" xfId="0" applyFill="1" applyBorder="1" applyAlignment="1">
      <alignment horizontal="right"/>
    </xf>
    <xf numFmtId="171" fontId="6" fillId="2" borderId="28" xfId="38" applyNumberFormat="1" applyFont="1" applyFill="1" applyBorder="1"/>
    <xf numFmtId="0" fontId="6" fillId="2" borderId="37" xfId="0" applyFont="1" applyFill="1" applyBorder="1"/>
    <xf numFmtId="0" fontId="6" fillId="2" borderId="57" xfId="0" applyFont="1" applyFill="1" applyBorder="1" applyAlignment="1">
      <alignment horizontal="left" indent="1"/>
    </xf>
    <xf numFmtId="171" fontId="6" fillId="2" borderId="37" xfId="38" applyNumberFormat="1" applyFont="1" applyFill="1" applyBorder="1"/>
    <xf numFmtId="171" fontId="6" fillId="2" borderId="37" xfId="38" applyNumberFormat="1" applyFont="1" applyFill="1" applyBorder="1" applyAlignment="1">
      <alignment horizontal="left"/>
    </xf>
    <xf numFmtId="167" fontId="8" fillId="2" borderId="22" xfId="0" applyNumberFormat="1" applyFont="1" applyFill="1" applyBorder="1"/>
    <xf numFmtId="0" fontId="0" fillId="2" borderId="49" xfId="0" applyFill="1" applyBorder="1" applyAlignment="1">
      <alignment horizontal="right"/>
    </xf>
    <xf numFmtId="10" fontId="8" fillId="2" borderId="22" xfId="38" applyNumberFormat="1" applyFont="1" applyFill="1" applyBorder="1" applyAlignment="1">
      <alignment horizontal="right"/>
    </xf>
    <xf numFmtId="171" fontId="6" fillId="2" borderId="18" xfId="38" applyNumberFormat="1" applyFont="1" applyFill="1" applyBorder="1"/>
    <xf numFmtId="166" fontId="30" fillId="2" borderId="22" xfId="0" applyNumberFormat="1" applyFont="1" applyFill="1" applyBorder="1"/>
    <xf numFmtId="166" fontId="26" fillId="2" borderId="22" xfId="0" applyNumberFormat="1" applyFont="1" applyFill="1" applyBorder="1"/>
    <xf numFmtId="1" fontId="6" fillId="2" borderId="22" xfId="0" applyNumberFormat="1" applyFont="1" applyFill="1" applyBorder="1"/>
    <xf numFmtId="1" fontId="0" fillId="2" borderId="57" xfId="0" applyNumberFormat="1" applyFill="1" applyBorder="1"/>
    <xf numFmtId="1" fontId="6" fillId="2" borderId="0" xfId="0" applyNumberFormat="1" applyFont="1" applyFill="1"/>
    <xf numFmtId="10" fontId="0" fillId="2" borderId="0" xfId="38" applyNumberFormat="1" applyFont="1" applyFill="1"/>
    <xf numFmtId="0" fontId="6" fillId="8" borderId="0" xfId="3" applyFill="1" applyAlignment="1"/>
    <xf numFmtId="0" fontId="0" fillId="8" borderId="0" xfId="0" applyFill="1"/>
    <xf numFmtId="0" fontId="6" fillId="7" borderId="0" xfId="3" applyFill="1" applyAlignment="1">
      <alignment horizontal="center"/>
    </xf>
    <xf numFmtId="3" fontId="6" fillId="0" borderId="22" xfId="24" applyNumberFormat="1" applyFont="1" applyFill="1" applyBorder="1"/>
    <xf numFmtId="1" fontId="0" fillId="0" borderId="22" xfId="0" applyNumberFormat="1" applyBorder="1"/>
    <xf numFmtId="1" fontId="0" fillId="0" borderId="41" xfId="0" applyNumberFormat="1" applyBorder="1"/>
    <xf numFmtId="1" fontId="6" fillId="0" borderId="22" xfId="0" applyNumberFormat="1" applyFont="1" applyBorder="1"/>
    <xf numFmtId="3" fontId="6" fillId="0" borderId="21" xfId="0" applyNumberFormat="1" applyFont="1" applyBorder="1"/>
    <xf numFmtId="3" fontId="6" fillId="0" borderId="22" xfId="24" applyNumberFormat="1" applyFont="1" applyFill="1" applyBorder="1" applyAlignment="1">
      <alignment horizontal="right"/>
    </xf>
    <xf numFmtId="3" fontId="0" fillId="0" borderId="25" xfId="0" applyNumberFormat="1" applyBorder="1"/>
    <xf numFmtId="167" fontId="0" fillId="2" borderId="59" xfId="0" applyNumberFormat="1" applyFill="1" applyBorder="1"/>
    <xf numFmtId="3" fontId="0" fillId="0" borderId="39" xfId="0" applyNumberFormat="1" applyBorder="1"/>
    <xf numFmtId="0" fontId="6" fillId="2" borderId="3" xfId="3" applyFill="1" applyBorder="1"/>
    <xf numFmtId="1" fontId="6" fillId="0" borderId="0" xfId="36" applyNumberFormat="1" applyFont="1" applyFill="1" applyAlignment="1">
      <alignment horizontal="right"/>
    </xf>
    <xf numFmtId="1" fontId="31" fillId="0" borderId="0" xfId="39" applyNumberFormat="1" applyFill="1"/>
    <xf numFmtId="0" fontId="6" fillId="2" borderId="7" xfId="3" applyFill="1" applyBorder="1"/>
    <xf numFmtId="3" fontId="8" fillId="0" borderId="24" xfId="3" applyNumberFormat="1" applyFont="1" applyBorder="1"/>
    <xf numFmtId="3" fontId="6" fillId="0" borderId="23" xfId="0" applyNumberFormat="1" applyFont="1" applyBorder="1"/>
    <xf numFmtId="3" fontId="6" fillId="0" borderId="23" xfId="36" applyNumberFormat="1" applyFont="1" applyFill="1" applyBorder="1"/>
    <xf numFmtId="3" fontId="6" fillId="0" borderId="21" xfId="36" applyNumberFormat="1" applyFont="1" applyFill="1" applyBorder="1"/>
    <xf numFmtId="3" fontId="6" fillId="0" borderId="17" xfId="3" applyNumberFormat="1" applyBorder="1"/>
    <xf numFmtId="3" fontId="6" fillId="0" borderId="52" xfId="0" applyNumberFormat="1" applyFont="1" applyBorder="1"/>
    <xf numFmtId="3" fontId="6" fillId="0" borderId="18" xfId="0" applyNumberFormat="1" applyFont="1" applyBorder="1"/>
    <xf numFmtId="3" fontId="6" fillId="0" borderId="19" xfId="0" applyNumberFormat="1" applyFont="1" applyBorder="1"/>
    <xf numFmtId="3" fontId="6" fillId="0" borderId="22" xfId="39" applyNumberFormat="1" applyFont="1" applyFill="1" applyBorder="1"/>
    <xf numFmtId="3" fontId="6" fillId="2" borderId="49" xfId="0" applyNumberFormat="1" applyFont="1" applyFill="1" applyBorder="1"/>
    <xf numFmtId="3" fontId="6" fillId="0" borderId="49" xfId="0" applyNumberFormat="1" applyFont="1" applyBorder="1"/>
    <xf numFmtId="3" fontId="6" fillId="2" borderId="21" xfId="0" applyNumberFormat="1" applyFont="1" applyFill="1" applyBorder="1"/>
    <xf numFmtId="3" fontId="6" fillId="2" borderId="23" xfId="0" applyNumberFormat="1" applyFont="1" applyFill="1" applyBorder="1"/>
    <xf numFmtId="1" fontId="6" fillId="0" borderId="0" xfId="0" applyNumberFormat="1" applyFont="1"/>
    <xf numFmtId="3" fontId="6" fillId="0" borderId="0" xfId="0" applyNumberFormat="1" applyFont="1"/>
    <xf numFmtId="3" fontId="6" fillId="0" borderId="41" xfId="36" applyNumberFormat="1" applyFont="1" applyFill="1" applyBorder="1"/>
    <xf numFmtId="167" fontId="6" fillId="0" borderId="23" xfId="36" applyNumberFormat="1" applyFont="1" applyFill="1" applyBorder="1"/>
    <xf numFmtId="3" fontId="6" fillId="2" borderId="0" xfId="0" applyNumberFormat="1" applyFont="1" applyFill="1"/>
    <xf numFmtId="3" fontId="6" fillId="0" borderId="22" xfId="36" applyNumberFormat="1" applyFont="1" applyFill="1" applyBorder="1" applyAlignment="1">
      <alignment horizontal="right"/>
    </xf>
    <xf numFmtId="3" fontId="6" fillId="2" borderId="36" xfId="3" applyNumberFormat="1" applyFill="1" applyBorder="1"/>
    <xf numFmtId="3" fontId="6" fillId="2" borderId="25" xfId="0" applyNumberFormat="1" applyFont="1" applyFill="1" applyBorder="1"/>
    <xf numFmtId="167" fontId="6" fillId="2" borderId="59" xfId="0" applyNumberFormat="1" applyFont="1" applyFill="1" applyBorder="1"/>
    <xf numFmtId="3" fontId="6" fillId="2" borderId="39" xfId="0" applyNumberFormat="1" applyFont="1" applyFill="1" applyBorder="1"/>
    <xf numFmtId="1" fontId="6" fillId="2" borderId="54" xfId="4" applyNumberFormat="1" applyFill="1" applyBorder="1" applyAlignment="1">
      <alignment horizontal="center" textRotation="90"/>
    </xf>
    <xf numFmtId="0" fontId="32" fillId="2" borderId="0" xfId="0" applyFont="1" applyFill="1"/>
    <xf numFmtId="0" fontId="0" fillId="2" borderId="0" xfId="0" applyFill="1" applyAlignment="1">
      <alignment horizontal="left" wrapText="1"/>
    </xf>
    <xf numFmtId="0" fontId="0" fillId="2" borderId="0" xfId="0" applyFill="1" applyAlignment="1">
      <alignment horizontal="left"/>
    </xf>
    <xf numFmtId="4" fontId="0" fillId="12" borderId="63" xfId="0" applyNumberFormat="1" applyFill="1" applyBorder="1"/>
    <xf numFmtId="0" fontId="33" fillId="2" borderId="0" xfId="0" applyFont="1" applyFill="1"/>
    <xf numFmtId="3" fontId="0" fillId="12" borderId="63" xfId="0" applyNumberFormat="1" applyFill="1" applyBorder="1"/>
    <xf numFmtId="3" fontId="0" fillId="2" borderId="57" xfId="0" applyNumberFormat="1" applyFill="1" applyBorder="1"/>
    <xf numFmtId="9" fontId="0" fillId="2" borderId="0" xfId="38" applyFont="1" applyFill="1"/>
    <xf numFmtId="1" fontId="0" fillId="2" borderId="63" xfId="0" applyNumberFormat="1" applyFill="1" applyBorder="1"/>
    <xf numFmtId="1" fontId="15" fillId="2" borderId="45" xfId="3" applyNumberFormat="1" applyFont="1" applyFill="1" applyBorder="1" applyAlignment="1">
      <alignment horizontal="center"/>
    </xf>
    <xf numFmtId="0" fontId="6" fillId="0" borderId="22" xfId="36" applyFont="1" applyFill="1" applyBorder="1"/>
    <xf numFmtId="3" fontId="6" fillId="7" borderId="22" xfId="36" applyNumberFormat="1" applyFont="1" applyFill="1" applyBorder="1"/>
    <xf numFmtId="1" fontId="6" fillId="0" borderId="60" xfId="3" applyNumberFormat="1" applyBorder="1" applyAlignment="1">
      <alignment horizontal="center" textRotation="90" wrapText="1"/>
    </xf>
    <xf numFmtId="1" fontId="6" fillId="0" borderId="56" xfId="3" applyNumberFormat="1" applyBorder="1" applyAlignment="1">
      <alignment horizontal="center" textRotation="90" wrapText="1"/>
    </xf>
    <xf numFmtId="1" fontId="6" fillId="0" borderId="43" xfId="3" applyNumberFormat="1" applyBorder="1" applyAlignment="1">
      <alignment horizontal="center" textRotation="90" wrapText="1"/>
    </xf>
    <xf numFmtId="3" fontId="6" fillId="2" borderId="3" xfId="36" applyNumberFormat="1" applyFont="1" applyFill="1" applyBorder="1" applyAlignment="1" applyProtection="1">
      <alignment horizontal="left"/>
      <protection locked="0"/>
    </xf>
    <xf numFmtId="3" fontId="6" fillId="2" borderId="40" xfId="36" applyNumberFormat="1" applyFont="1" applyFill="1" applyBorder="1" applyAlignment="1" applyProtection="1">
      <alignment horizontal="left"/>
      <protection locked="0"/>
    </xf>
    <xf numFmtId="1" fontId="15" fillId="2" borderId="45" xfId="0" applyNumberFormat="1" applyFont="1" applyFill="1" applyBorder="1" applyAlignment="1">
      <alignment horizontal="center"/>
    </xf>
    <xf numFmtId="1" fontId="6" fillId="0" borderId="61" xfId="3" applyNumberFormat="1" applyBorder="1" applyAlignment="1">
      <alignment horizontal="center" textRotation="90" wrapText="1"/>
    </xf>
    <xf numFmtId="1" fontId="6" fillId="0" borderId="62" xfId="3" applyNumberFormat="1" applyBorder="1" applyAlignment="1">
      <alignment horizontal="center" textRotation="90" wrapText="1"/>
    </xf>
    <xf numFmtId="1" fontId="6" fillId="0" borderId="44" xfId="3" applyNumberFormat="1" applyBorder="1" applyAlignment="1">
      <alignment horizontal="center" textRotation="90" wrapText="1"/>
    </xf>
    <xf numFmtId="1" fontId="13" fillId="2" borderId="0" xfId="0" applyNumberFormat="1" applyFont="1" applyFill="1" applyAlignment="1">
      <alignment horizontal="center"/>
    </xf>
    <xf numFmtId="1" fontId="14" fillId="0" borderId="0" xfId="0" applyNumberFormat="1" applyFont="1" applyAlignment="1">
      <alignment horizontal="center" vertical="top"/>
    </xf>
    <xf numFmtId="1" fontId="6" fillId="2" borderId="60" xfId="3" applyNumberFormat="1" applyFill="1" applyBorder="1" applyAlignment="1">
      <alignment horizontal="center" textRotation="90" wrapText="1"/>
    </xf>
    <xf numFmtId="1" fontId="6" fillId="2" borderId="56" xfId="3" applyNumberFormat="1" applyFill="1" applyBorder="1" applyAlignment="1">
      <alignment horizontal="center" textRotation="90" wrapText="1"/>
    </xf>
    <xf numFmtId="1" fontId="6" fillId="2" borderId="43" xfId="3" applyNumberFormat="1" applyFill="1" applyBorder="1" applyAlignment="1">
      <alignment horizontal="center" textRotation="90" wrapText="1"/>
    </xf>
    <xf numFmtId="1" fontId="6" fillId="2" borderId="61" xfId="3" applyNumberFormat="1" applyFill="1" applyBorder="1" applyAlignment="1">
      <alignment horizontal="center" textRotation="90" wrapText="1"/>
    </xf>
    <xf numFmtId="1" fontId="6" fillId="2" borderId="62" xfId="3" applyNumberFormat="1" applyFill="1" applyBorder="1" applyAlignment="1">
      <alignment horizontal="center" textRotation="90" wrapText="1"/>
    </xf>
    <xf numFmtId="1" fontId="6" fillId="2" borderId="44" xfId="3" applyNumberFormat="1" applyFill="1" applyBorder="1" applyAlignment="1">
      <alignment horizontal="center" textRotation="90" wrapText="1"/>
    </xf>
    <xf numFmtId="1" fontId="15" fillId="2" borderId="45" xfId="3" applyNumberFormat="1" applyFont="1" applyFill="1" applyBorder="1" applyAlignment="1">
      <alignment horizontal="center"/>
    </xf>
    <xf numFmtId="1" fontId="13" fillId="2" borderId="0" xfId="3" applyNumberFormat="1" applyFont="1" applyFill="1" applyAlignment="1">
      <alignment horizontal="center"/>
    </xf>
    <xf numFmtId="1" fontId="14" fillId="2" borderId="0" xfId="0" applyNumberFormat="1" applyFont="1" applyFill="1" applyAlignment="1">
      <alignment horizontal="center" vertical="top"/>
    </xf>
    <xf numFmtId="3" fontId="6" fillId="0" borderId="3" xfId="3" applyNumberFormat="1" applyBorder="1" applyAlignment="1" applyProtection="1">
      <alignment horizontal="left"/>
      <protection locked="0"/>
    </xf>
    <xf numFmtId="3" fontId="6" fillId="0" borderId="40" xfId="3" applyNumberFormat="1" applyBorder="1" applyAlignment="1" applyProtection="1">
      <alignment horizontal="left"/>
      <protection locked="0"/>
    </xf>
    <xf numFmtId="0" fontId="6" fillId="0" borderId="28" xfId="3" applyBorder="1" applyAlignment="1">
      <alignment vertical="center"/>
    </xf>
    <xf numFmtId="0" fontId="6" fillId="0" borderId="18" xfId="3" applyBorder="1" applyAlignment="1">
      <alignment vertical="center"/>
    </xf>
    <xf numFmtId="0" fontId="8" fillId="0" borderId="28" xfId="3" applyFont="1" applyBorder="1" applyAlignment="1">
      <alignment horizontal="center" vertical="center" textRotation="90"/>
    </xf>
    <xf numFmtId="0" fontId="8" fillId="0" borderId="56" xfId="3" applyFont="1" applyBorder="1" applyAlignment="1">
      <alignment horizontal="center" vertical="center" textRotation="90"/>
    </xf>
    <xf numFmtId="0" fontId="8" fillId="0" borderId="18" xfId="3" applyFont="1" applyBorder="1" applyAlignment="1">
      <alignment horizontal="center" vertical="center" textRotation="90"/>
    </xf>
    <xf numFmtId="1" fontId="8" fillId="2" borderId="22" xfId="0" applyNumberFormat="1" applyFont="1" applyFill="1" applyBorder="1" applyAlignment="1">
      <alignment horizontal="center"/>
    </xf>
    <xf numFmtId="0" fontId="8" fillId="2" borderId="22" xfId="0" applyFont="1" applyFill="1" applyBorder="1" applyAlignment="1">
      <alignment horizontal="center"/>
    </xf>
    <xf numFmtId="3" fontId="0" fillId="2" borderId="22" xfId="0" applyNumberFormat="1" applyFill="1" applyBorder="1" applyAlignment="1">
      <alignment horizontal="center"/>
    </xf>
  </cellXfs>
  <cellStyles count="40">
    <cellStyle name="1000-sep (2 dec) 2" xfId="24" xr:uid="{572C924D-91FB-4FB2-B857-9D80D8D507E7}"/>
    <cellStyle name="1000-sep (2 dec) 2 2" xfId="26" xr:uid="{00000000-0005-0000-0000-000000000000}"/>
    <cellStyle name="1000-sep (2 dec) 2 3" xfId="37" xr:uid="{56112B2B-2BCC-4B93-BB0B-8843190F70C7}"/>
    <cellStyle name="God" xfId="36" builtinId="26"/>
    <cellStyle name="Komma 2" xfId="2" xr:uid="{00000000-0005-0000-0000-000001000000}"/>
    <cellStyle name="Komma 2 2" xfId="9" xr:uid="{00000000-0005-0000-0000-000002000000}"/>
    <cellStyle name="Komma 2 2 2" xfId="28" xr:uid="{00000000-0005-0000-0000-000002000000}"/>
    <cellStyle name="Komma 2 3" xfId="7" xr:uid="{00000000-0005-0000-0000-000003000000}"/>
    <cellStyle name="Komma 2 3 2" xfId="29" xr:uid="{00000000-0005-0000-0000-000003000000}"/>
    <cellStyle name="Komma 3" xfId="5" xr:uid="{00000000-0005-0000-0000-000004000000}"/>
    <cellStyle name="Komma 3 2" xfId="22" xr:uid="{00000000-0005-0000-0000-000005000000}"/>
    <cellStyle name="Komma 3 3" xfId="30" xr:uid="{00000000-0005-0000-0000-000004000000}"/>
    <cellStyle name="Komma 4" xfId="8" xr:uid="{00000000-0005-0000-0000-000006000000}"/>
    <cellStyle name="Komma 5" xfId="21" xr:uid="{00000000-0005-0000-0000-000007000000}"/>
    <cellStyle name="Normal" xfId="0" builtinId="0"/>
    <cellStyle name="Normal 2" xfId="1" xr:uid="{00000000-0005-0000-0000-000009000000}"/>
    <cellStyle name="Normal 2 2" xfId="3" xr:uid="{00000000-0005-0000-0000-00000A000000}"/>
    <cellStyle name="Normal 2 2 2" xfId="10" xr:uid="{00000000-0005-0000-0000-00000B000000}"/>
    <cellStyle name="Normal 2 2 2 2" xfId="31" xr:uid="{00000000-0005-0000-0000-000009000000}"/>
    <cellStyle name="Normal 2 3" xfId="11" xr:uid="{00000000-0005-0000-0000-00000C000000}"/>
    <cellStyle name="Normal 2 3 2" xfId="32" xr:uid="{00000000-0005-0000-0000-00000A000000}"/>
    <cellStyle name="Normal 23" xfId="25" xr:uid="{3331C10D-ACDF-403C-8B96-4FB970AF99DF}"/>
    <cellStyle name="Normal 3" xfId="6" xr:uid="{00000000-0005-0000-0000-00000D000000}"/>
    <cellStyle name="Normal 3 2" xfId="12" xr:uid="{00000000-0005-0000-0000-00000E000000}"/>
    <cellStyle name="Normal 3 2 2" xfId="33" xr:uid="{00000000-0005-0000-0000-00000C000000}"/>
    <cellStyle name="Normal 3 3" xfId="13" xr:uid="{00000000-0005-0000-0000-00000F000000}"/>
    <cellStyle name="Normal 4" xfId="14" xr:uid="{00000000-0005-0000-0000-000010000000}"/>
    <cellStyle name="Normal 4 2" xfId="15" xr:uid="{00000000-0005-0000-0000-000011000000}"/>
    <cellStyle name="Normal 5" xfId="16" xr:uid="{00000000-0005-0000-0000-000012000000}"/>
    <cellStyle name="Normal 5 2" xfId="27" xr:uid="{00000000-0005-0000-0000-000010000000}"/>
    <cellStyle name="Normal 6" xfId="17" xr:uid="{00000000-0005-0000-0000-000013000000}"/>
    <cellStyle name="Normal 6 2" xfId="34" xr:uid="{00000000-0005-0000-0000-000011000000}"/>
    <cellStyle name="Normal 7" xfId="18" xr:uid="{00000000-0005-0000-0000-000014000000}"/>
    <cellStyle name="Normal 7 2" xfId="35" xr:uid="{00000000-0005-0000-0000-000012000000}"/>
    <cellStyle name="Normal 8" xfId="20" xr:uid="{00000000-0005-0000-0000-000015000000}"/>
    <cellStyle name="Procent" xfId="38" builtinId="5"/>
    <cellStyle name="Procent 2" xfId="4" xr:uid="{00000000-0005-0000-0000-000017000000}"/>
    <cellStyle name="Procent 3" xfId="19" xr:uid="{00000000-0005-0000-0000-000018000000}"/>
    <cellStyle name="Procent 4" xfId="23" xr:uid="{00000000-0005-0000-0000-000019000000}"/>
    <cellStyle name="Ugyldig" xfId="39" builtinId="27"/>
  </cellStyles>
  <dxfs count="0"/>
  <tableStyles count="0" defaultTableStyle="TableStyleMedium9" defaultPivotStyle="PivotStyleLight16"/>
  <colors>
    <mruColors>
      <color rgb="FF99CC33"/>
      <color rgb="FFCCFFCC"/>
      <color rgb="FFC4CCC4"/>
      <color rgb="FFE3DFD4"/>
      <color rgb="FFCCFF66"/>
      <color rgb="FFBEE6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6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Grafer!$B$564</c:f>
              <c:strCache>
                <c:ptCount val="1"/>
                <c:pt idx="0">
                  <c:v>Elimport</c:v>
                </c:pt>
              </c:strCache>
            </c:strRef>
          </c:tx>
          <c:invertIfNegative val="0"/>
          <c:cat>
            <c:strRef>
              <c:f>Grafer!$C$101:$H$101</c:f>
              <c:strCache>
                <c:ptCount val="3"/>
                <c:pt idx="0">
                  <c:v>2018</c:v>
                </c:pt>
                <c:pt idx="1">
                  <c:v>BAU2030</c:v>
                </c:pt>
                <c:pt idx="2">
                  <c:v>BAU2050</c:v>
                </c:pt>
              </c:strCache>
            </c:strRef>
          </c:cat>
          <c:val>
            <c:numRef>
              <c:f>Grafer!$C$564:$H$564</c:f>
              <c:numCache>
                <c:formatCode>#,##0</c:formatCode>
                <c:ptCount val="6"/>
                <c:pt idx="0">
                  <c:v>4.5293996632071147</c:v>
                </c:pt>
                <c:pt idx="1">
                  <c:v>0</c:v>
                </c:pt>
                <c:pt idx="2">
                  <c:v>0</c:v>
                </c:pt>
              </c:numCache>
            </c:numRef>
          </c:val>
          <c:extLst>
            <c:ext xmlns:c16="http://schemas.microsoft.com/office/drawing/2014/chart" uri="{C3380CC4-5D6E-409C-BE32-E72D297353CC}">
              <c16:uniqueId val="{00000000-951D-4D21-AF90-AEDDD3AB657D}"/>
            </c:ext>
          </c:extLst>
        </c:ser>
        <c:ser>
          <c:idx val="2"/>
          <c:order val="1"/>
          <c:tx>
            <c:strRef>
              <c:f>Grafer!$B$565</c:f>
              <c:strCache>
                <c:ptCount val="1"/>
                <c:pt idx="0">
                  <c:v>Kul</c:v>
                </c:pt>
              </c:strCache>
            </c:strRef>
          </c:tx>
          <c:invertIfNegative val="0"/>
          <c:cat>
            <c:strRef>
              <c:f>Grafer!$C$101:$H$101</c:f>
              <c:strCache>
                <c:ptCount val="3"/>
                <c:pt idx="0">
                  <c:v>2018</c:v>
                </c:pt>
                <c:pt idx="1">
                  <c:v>BAU2030</c:v>
                </c:pt>
                <c:pt idx="2">
                  <c:v>BAU2050</c:v>
                </c:pt>
              </c:strCache>
            </c:strRef>
          </c:cat>
          <c:val>
            <c:numRef>
              <c:f>Grafer!$C$565:$H$565</c:f>
              <c:numCache>
                <c:formatCode>#,##0</c:formatCode>
                <c:ptCount val="6"/>
                <c:pt idx="0">
                  <c:v>0</c:v>
                </c:pt>
                <c:pt idx="1">
                  <c:v>0</c:v>
                </c:pt>
                <c:pt idx="2">
                  <c:v>0</c:v>
                </c:pt>
              </c:numCache>
            </c:numRef>
          </c:val>
          <c:extLst>
            <c:ext xmlns:c16="http://schemas.microsoft.com/office/drawing/2014/chart" uri="{C3380CC4-5D6E-409C-BE32-E72D297353CC}">
              <c16:uniqueId val="{00000001-951D-4D21-AF90-AEDDD3AB657D}"/>
            </c:ext>
          </c:extLst>
        </c:ser>
        <c:ser>
          <c:idx val="3"/>
          <c:order val="2"/>
          <c:tx>
            <c:strRef>
              <c:f>Grafer!$B$566</c:f>
              <c:strCache>
                <c:ptCount val="1"/>
                <c:pt idx="0">
                  <c:v>Naturgas og LPG</c:v>
                </c:pt>
              </c:strCache>
            </c:strRef>
          </c:tx>
          <c:invertIfNegative val="0"/>
          <c:cat>
            <c:strRef>
              <c:f>Grafer!$C$101:$H$101</c:f>
              <c:strCache>
                <c:ptCount val="3"/>
                <c:pt idx="0">
                  <c:v>2018</c:v>
                </c:pt>
                <c:pt idx="1">
                  <c:v>BAU2030</c:v>
                </c:pt>
                <c:pt idx="2">
                  <c:v>BAU2050</c:v>
                </c:pt>
              </c:strCache>
            </c:strRef>
          </c:cat>
          <c:val>
            <c:numRef>
              <c:f>Grafer!$C$566:$H$566</c:f>
              <c:numCache>
                <c:formatCode>#,##0</c:formatCode>
                <c:ptCount val="6"/>
                <c:pt idx="0">
                  <c:v>5.6159000000000001E-2</c:v>
                </c:pt>
                <c:pt idx="1">
                  <c:v>5.6159000000000001E-2</c:v>
                </c:pt>
                <c:pt idx="2">
                  <c:v>5.6159000000000001E-2</c:v>
                </c:pt>
              </c:numCache>
            </c:numRef>
          </c:val>
          <c:extLst>
            <c:ext xmlns:c16="http://schemas.microsoft.com/office/drawing/2014/chart" uri="{C3380CC4-5D6E-409C-BE32-E72D297353CC}">
              <c16:uniqueId val="{00000002-951D-4D21-AF90-AEDDD3AB657D}"/>
            </c:ext>
          </c:extLst>
        </c:ser>
        <c:ser>
          <c:idx val="4"/>
          <c:order val="3"/>
          <c:tx>
            <c:strRef>
              <c:f>Grafer!$B$567</c:f>
              <c:strCache>
                <c:ptCount val="1"/>
                <c:pt idx="0">
                  <c:v>Fuelolie</c:v>
                </c:pt>
              </c:strCache>
            </c:strRef>
          </c:tx>
          <c:invertIfNegative val="0"/>
          <c:cat>
            <c:strRef>
              <c:f>Grafer!$C$101:$H$101</c:f>
              <c:strCache>
                <c:ptCount val="3"/>
                <c:pt idx="0">
                  <c:v>2018</c:v>
                </c:pt>
                <c:pt idx="1">
                  <c:v>BAU2030</c:v>
                </c:pt>
                <c:pt idx="2">
                  <c:v>BAU2050</c:v>
                </c:pt>
              </c:strCache>
            </c:strRef>
          </c:cat>
          <c:val>
            <c:numRef>
              <c:f>Grafer!$C$567:$H$567</c:f>
              <c:numCache>
                <c:formatCode>#,##0</c:formatCode>
                <c:ptCount val="6"/>
                <c:pt idx="0">
                  <c:v>7.887999999999999E-5</c:v>
                </c:pt>
                <c:pt idx="1">
                  <c:v>7.7917663999999996E-5</c:v>
                </c:pt>
                <c:pt idx="2">
                  <c:v>7.7917663999999996E-5</c:v>
                </c:pt>
              </c:numCache>
            </c:numRef>
          </c:val>
          <c:extLst>
            <c:ext xmlns:c16="http://schemas.microsoft.com/office/drawing/2014/chart" uri="{C3380CC4-5D6E-409C-BE32-E72D297353CC}">
              <c16:uniqueId val="{00000003-951D-4D21-AF90-AEDDD3AB657D}"/>
            </c:ext>
          </c:extLst>
        </c:ser>
        <c:ser>
          <c:idx val="5"/>
          <c:order val="4"/>
          <c:tx>
            <c:strRef>
              <c:f>Grafer!$B$568</c:f>
              <c:strCache>
                <c:ptCount val="1"/>
                <c:pt idx="0">
                  <c:v>Brændselsolie/diesel</c:v>
                </c:pt>
              </c:strCache>
            </c:strRef>
          </c:tx>
          <c:invertIfNegative val="0"/>
          <c:cat>
            <c:strRef>
              <c:f>Grafer!$C$101:$H$101</c:f>
              <c:strCache>
                <c:ptCount val="3"/>
                <c:pt idx="0">
                  <c:v>2018</c:v>
                </c:pt>
                <c:pt idx="1">
                  <c:v>BAU2030</c:v>
                </c:pt>
                <c:pt idx="2">
                  <c:v>BAU2050</c:v>
                </c:pt>
              </c:strCache>
            </c:strRef>
          </c:cat>
          <c:val>
            <c:numRef>
              <c:f>Grafer!$C$568:$H$568</c:f>
              <c:numCache>
                <c:formatCode>#,##0</c:formatCode>
                <c:ptCount val="6"/>
                <c:pt idx="0">
                  <c:v>6.0630264599999997</c:v>
                </c:pt>
                <c:pt idx="1">
                  <c:v>4.4248688978780004</c:v>
                </c:pt>
                <c:pt idx="2">
                  <c:v>3.2700306655859999</c:v>
                </c:pt>
              </c:numCache>
            </c:numRef>
          </c:val>
          <c:extLst>
            <c:ext xmlns:c16="http://schemas.microsoft.com/office/drawing/2014/chart" uri="{C3380CC4-5D6E-409C-BE32-E72D297353CC}">
              <c16:uniqueId val="{00000004-951D-4D21-AF90-AEDDD3AB657D}"/>
            </c:ext>
          </c:extLst>
        </c:ser>
        <c:ser>
          <c:idx val="7"/>
          <c:order val="5"/>
          <c:tx>
            <c:strRef>
              <c:f>Grafer!$B$569</c:f>
              <c:strCache>
                <c:ptCount val="1"/>
                <c:pt idx="0">
                  <c:v>JP1</c:v>
                </c:pt>
              </c:strCache>
            </c:strRef>
          </c:tx>
          <c:spPr>
            <a:solidFill>
              <a:srgbClr val="D9AAA9"/>
            </a:solidFill>
          </c:spPr>
          <c:invertIfNegative val="0"/>
          <c:cat>
            <c:strRef>
              <c:f>Grafer!$C$101:$H$101</c:f>
              <c:strCache>
                <c:ptCount val="3"/>
                <c:pt idx="0">
                  <c:v>2018</c:v>
                </c:pt>
                <c:pt idx="1">
                  <c:v>BAU2030</c:v>
                </c:pt>
                <c:pt idx="2">
                  <c:v>BAU2050</c:v>
                </c:pt>
              </c:strCache>
            </c:strRef>
          </c:cat>
          <c:val>
            <c:numRef>
              <c:f>Grafer!$C$569:$H$569</c:f>
              <c:numCache>
                <c:formatCode>#,##0</c:formatCode>
                <c:ptCount val="6"/>
                <c:pt idx="0">
                  <c:v>1.0065600000000001</c:v>
                </c:pt>
                <c:pt idx="1">
                  <c:v>1.1743535520000001</c:v>
                </c:pt>
                <c:pt idx="2">
                  <c:v>1.1743535520000001</c:v>
                </c:pt>
              </c:numCache>
            </c:numRef>
          </c:val>
          <c:extLst>
            <c:ext xmlns:c16="http://schemas.microsoft.com/office/drawing/2014/chart" uri="{C3380CC4-5D6E-409C-BE32-E72D297353CC}">
              <c16:uniqueId val="{00000005-951D-4D21-AF90-AEDDD3AB657D}"/>
            </c:ext>
          </c:extLst>
        </c:ser>
        <c:ser>
          <c:idx val="6"/>
          <c:order val="6"/>
          <c:tx>
            <c:strRef>
              <c:f>Grafer!$B$570</c:f>
              <c:strCache>
                <c:ptCount val="1"/>
                <c:pt idx="0">
                  <c:v>Benzin</c:v>
                </c:pt>
              </c:strCache>
            </c:strRef>
          </c:tx>
          <c:invertIfNegative val="0"/>
          <c:cat>
            <c:strRef>
              <c:f>Grafer!$C$101:$H$101</c:f>
              <c:strCache>
                <c:ptCount val="3"/>
                <c:pt idx="0">
                  <c:v>2018</c:v>
                </c:pt>
                <c:pt idx="1">
                  <c:v>BAU2030</c:v>
                </c:pt>
                <c:pt idx="2">
                  <c:v>BAU2050</c:v>
                </c:pt>
              </c:strCache>
            </c:strRef>
          </c:cat>
          <c:val>
            <c:numRef>
              <c:f>Grafer!$C$570:$H$570</c:f>
              <c:numCache>
                <c:formatCode>#,##0</c:formatCode>
                <c:ptCount val="6"/>
                <c:pt idx="0">
                  <c:v>1.31821794</c:v>
                </c:pt>
                <c:pt idx="1">
                  <c:v>1.2311359845000003</c:v>
                </c:pt>
                <c:pt idx="2">
                  <c:v>0.27799568729999996</c:v>
                </c:pt>
              </c:numCache>
            </c:numRef>
          </c:val>
          <c:extLst>
            <c:ext xmlns:c16="http://schemas.microsoft.com/office/drawing/2014/chart" uri="{C3380CC4-5D6E-409C-BE32-E72D297353CC}">
              <c16:uniqueId val="{00000006-951D-4D21-AF90-AEDDD3AB657D}"/>
            </c:ext>
          </c:extLst>
        </c:ser>
        <c:ser>
          <c:idx val="0"/>
          <c:order val="7"/>
          <c:tx>
            <c:strRef>
              <c:f>Grafer!$B$571</c:f>
              <c:strCache>
                <c:ptCount val="1"/>
                <c:pt idx="0">
                  <c:v>Affald, ikke bionedbrydeligt</c:v>
                </c:pt>
              </c:strCache>
            </c:strRef>
          </c:tx>
          <c:invertIfNegative val="0"/>
          <c:cat>
            <c:strRef>
              <c:f>Grafer!$C$101:$H$101</c:f>
              <c:strCache>
                <c:ptCount val="3"/>
                <c:pt idx="0">
                  <c:v>2018</c:v>
                </c:pt>
                <c:pt idx="1">
                  <c:v>BAU2030</c:v>
                </c:pt>
                <c:pt idx="2">
                  <c:v>BAU2050</c:v>
                </c:pt>
              </c:strCache>
            </c:strRef>
          </c:cat>
          <c:val>
            <c:numRef>
              <c:f>Grafer!$C$571:$H$571</c:f>
              <c:numCache>
                <c:formatCode>#,##0</c:formatCode>
                <c:ptCount val="6"/>
                <c:pt idx="0">
                  <c:v>0</c:v>
                </c:pt>
                <c:pt idx="1">
                  <c:v>0</c:v>
                </c:pt>
                <c:pt idx="2">
                  <c:v>0</c:v>
                </c:pt>
              </c:numCache>
            </c:numRef>
          </c:val>
          <c:extLst>
            <c:ext xmlns:c16="http://schemas.microsoft.com/office/drawing/2014/chart" uri="{C3380CC4-5D6E-409C-BE32-E72D297353CC}">
              <c16:uniqueId val="{00000007-951D-4D21-AF90-AEDDD3AB657D}"/>
            </c:ext>
          </c:extLst>
        </c:ser>
        <c:dLbls>
          <c:showLegendKey val="0"/>
          <c:showVal val="0"/>
          <c:showCatName val="0"/>
          <c:showSerName val="0"/>
          <c:showPercent val="0"/>
          <c:showBubbleSize val="0"/>
        </c:dLbls>
        <c:gapWidth val="150"/>
        <c:overlap val="100"/>
        <c:axId val="422227304"/>
        <c:axId val="422224952"/>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numRef>
              <c:f>(Grafer!$C$101,Grafer!$H$101)</c:f>
              <c:numCache>
                <c:formatCode>General</c:formatCode>
                <c:ptCount val="2"/>
                <c:pt idx="0">
                  <c:v>2018</c:v>
                </c:pt>
              </c:numCache>
            </c:numRef>
          </c:cat>
          <c:val>
            <c:numRef>
              <c:f>(Grafer!$C$118,Grafer!$H$118)</c:f>
              <c:numCache>
                <c:formatCode>#,##0</c:formatCode>
                <c:ptCount val="2"/>
                <c:pt idx="0">
                  <c:v>135.29714695291642</c:v>
                </c:pt>
              </c:numCache>
            </c:numRef>
          </c:val>
          <c:extLst>
            <c:ext xmlns:c16="http://schemas.microsoft.com/office/drawing/2014/chart" uri="{C3380CC4-5D6E-409C-BE32-E72D297353CC}">
              <c16:uniqueId val="{00000000-2BDD-4063-9BE2-1F3FBB5A9BC5}"/>
            </c:ext>
          </c:extLst>
        </c:ser>
        <c:ser>
          <c:idx val="16"/>
          <c:order val="1"/>
          <c:tx>
            <c:strRef>
              <c:f>Grafer!$B$119</c:f>
              <c:strCache>
                <c:ptCount val="1"/>
                <c:pt idx="0">
                  <c:v>I alt VE</c:v>
                </c:pt>
              </c:strCache>
            </c:strRef>
          </c:tx>
          <c:spPr>
            <a:solidFill>
              <a:schemeClr val="accent3"/>
            </a:solidFill>
          </c:spPr>
          <c:invertIfNegative val="0"/>
          <c:dLbls>
            <c:delete val="1"/>
          </c:dLbls>
          <c:cat>
            <c:numRef>
              <c:f>(Grafer!$C$101,Grafer!$H$101)</c:f>
              <c:numCache>
                <c:formatCode>General</c:formatCode>
                <c:ptCount val="2"/>
                <c:pt idx="0">
                  <c:v>2018</c:v>
                </c:pt>
              </c:numCache>
            </c:numRef>
          </c:cat>
          <c:val>
            <c:numRef>
              <c:f>(Grafer!$C$119,Grafer!$H$119)</c:f>
              <c:numCache>
                <c:formatCode>#,##0</c:formatCode>
                <c:ptCount val="2"/>
                <c:pt idx="0">
                  <c:v>108.23895474872002</c:v>
                </c:pt>
              </c:numCache>
            </c:numRef>
          </c:val>
          <c:extLst>
            <c:ext xmlns:c16="http://schemas.microsoft.com/office/drawing/2014/chart" uri="{C3380CC4-5D6E-409C-BE32-E72D297353CC}">
              <c16:uniqueId val="{00000001-2BDD-4063-9BE2-1F3FBB5A9BC5}"/>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Grafer!$C$101:$H$101</c:f>
              <c:strCache>
                <c:ptCount val="3"/>
                <c:pt idx="0">
                  <c:v>2018</c:v>
                </c:pt>
                <c:pt idx="1">
                  <c:v>BAU2030</c:v>
                </c:pt>
                <c:pt idx="2">
                  <c:v>BAU2050</c:v>
                </c:pt>
              </c:strCache>
            </c:strRef>
          </c:cat>
          <c:val>
            <c:numRef>
              <c:f>Grafer!$C$118:$H$118</c:f>
              <c:numCache>
                <c:formatCode>#,##0</c:formatCode>
                <c:ptCount val="6"/>
                <c:pt idx="0">
                  <c:v>135.29714695291642</c:v>
                </c:pt>
                <c:pt idx="1">
                  <c:v>93.861855947000009</c:v>
                </c:pt>
                <c:pt idx="2">
                  <c:v>65.199217488999992</c:v>
                </c:pt>
              </c:numCache>
            </c:numRef>
          </c:val>
          <c:extLst>
            <c:ext xmlns:c16="http://schemas.microsoft.com/office/drawing/2014/chart" uri="{C3380CC4-5D6E-409C-BE32-E72D297353CC}">
              <c16:uniqueId val="{00000000-9A42-45CD-BDFB-790FFEC9D38E}"/>
            </c:ext>
          </c:extLst>
        </c:ser>
        <c:ser>
          <c:idx val="16"/>
          <c:order val="1"/>
          <c:tx>
            <c:strRef>
              <c:f>Grafer!$B$119</c:f>
              <c:strCache>
                <c:ptCount val="1"/>
                <c:pt idx="0">
                  <c:v>I alt VE</c:v>
                </c:pt>
              </c:strCache>
            </c:strRef>
          </c:tx>
          <c:spPr>
            <a:solidFill>
              <a:schemeClr val="accent3"/>
            </a:solidFill>
          </c:spPr>
          <c:invertIfNegative val="0"/>
          <c:dLbls>
            <c:delete val="1"/>
          </c:dLbls>
          <c:cat>
            <c:strRef>
              <c:f>Grafer!$C$101:$H$101</c:f>
              <c:strCache>
                <c:ptCount val="3"/>
                <c:pt idx="0">
                  <c:v>2018</c:v>
                </c:pt>
                <c:pt idx="1">
                  <c:v>BAU2030</c:v>
                </c:pt>
                <c:pt idx="2">
                  <c:v>BAU2050</c:v>
                </c:pt>
              </c:strCache>
            </c:strRef>
          </c:cat>
          <c:val>
            <c:numRef>
              <c:f>Grafer!$C$119:$H$119</c:f>
              <c:numCache>
                <c:formatCode>#,##0</c:formatCode>
                <c:ptCount val="6"/>
                <c:pt idx="0">
                  <c:v>108.23895474872002</c:v>
                </c:pt>
                <c:pt idx="1">
                  <c:v>145.0294208690558</c:v>
                </c:pt>
                <c:pt idx="2">
                  <c:v>153.62564456659268</c:v>
                </c:pt>
              </c:numCache>
            </c:numRef>
          </c:val>
          <c:extLst>
            <c:ext xmlns:c16="http://schemas.microsoft.com/office/drawing/2014/chart" uri="{C3380CC4-5D6E-409C-BE32-E72D297353CC}">
              <c16:uniqueId val="{00000001-9A42-45CD-BDFB-790FFEC9D38E}"/>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Grafer!$B$102</c:f>
              <c:strCache>
                <c:ptCount val="1"/>
                <c:pt idx="0">
                  <c:v>Elimport (fossilbaseret)</c:v>
                </c:pt>
              </c:strCache>
            </c:strRef>
          </c:tx>
          <c:invertIfNegative val="0"/>
          <c:cat>
            <c:strRef>
              <c:f>Grafer!$C$101:$H$101</c:f>
              <c:strCache>
                <c:ptCount val="3"/>
                <c:pt idx="0">
                  <c:v>2018</c:v>
                </c:pt>
                <c:pt idx="1">
                  <c:v>BAU2030</c:v>
                </c:pt>
                <c:pt idx="2">
                  <c:v>BAU2050</c:v>
                </c:pt>
              </c:strCache>
            </c:strRef>
          </c:cat>
          <c:val>
            <c:numRef>
              <c:f>Grafer!$C$102:$H$102</c:f>
              <c:numCache>
                <c:formatCode>#,##0</c:formatCode>
                <c:ptCount val="6"/>
                <c:pt idx="0">
                  <c:v>20.435576952916406</c:v>
                </c:pt>
                <c:pt idx="1">
                  <c:v>0</c:v>
                </c:pt>
                <c:pt idx="2">
                  <c:v>0</c:v>
                </c:pt>
              </c:numCache>
            </c:numRef>
          </c:val>
          <c:extLst>
            <c:ext xmlns:c16="http://schemas.microsoft.com/office/drawing/2014/chart" uri="{C3380CC4-5D6E-409C-BE32-E72D297353CC}">
              <c16:uniqueId val="{00000000-295F-4037-A890-D197AA563ECF}"/>
            </c:ext>
          </c:extLst>
        </c:ser>
        <c:ser>
          <c:idx val="2"/>
          <c:order val="1"/>
          <c:tx>
            <c:strRef>
              <c:f>Grafer!$B$103</c:f>
              <c:strCache>
                <c:ptCount val="1"/>
                <c:pt idx="0">
                  <c:v>Kul</c:v>
                </c:pt>
              </c:strCache>
            </c:strRef>
          </c:tx>
          <c:invertIfNegative val="0"/>
          <c:cat>
            <c:strRef>
              <c:f>Grafer!$C$101:$H$101</c:f>
              <c:strCache>
                <c:ptCount val="3"/>
                <c:pt idx="0">
                  <c:v>2018</c:v>
                </c:pt>
                <c:pt idx="1">
                  <c:v>BAU2030</c:v>
                </c:pt>
                <c:pt idx="2">
                  <c:v>BAU2050</c:v>
                </c:pt>
              </c:strCache>
            </c:strRef>
          </c:cat>
          <c:val>
            <c:numRef>
              <c:f>Grafer!$C$103:$H$103</c:f>
              <c:numCache>
                <c:formatCode>#,##0</c:formatCode>
                <c:ptCount val="6"/>
                <c:pt idx="0">
                  <c:v>0</c:v>
                </c:pt>
                <c:pt idx="1">
                  <c:v>0</c:v>
                </c:pt>
                <c:pt idx="2">
                  <c:v>0</c:v>
                </c:pt>
              </c:numCache>
            </c:numRef>
          </c:val>
          <c:extLst>
            <c:ext xmlns:c16="http://schemas.microsoft.com/office/drawing/2014/chart" uri="{C3380CC4-5D6E-409C-BE32-E72D297353CC}">
              <c16:uniqueId val="{00000001-295F-4037-A890-D197AA563ECF}"/>
            </c:ext>
          </c:extLst>
        </c:ser>
        <c:ser>
          <c:idx val="3"/>
          <c:order val="2"/>
          <c:tx>
            <c:strRef>
              <c:f>Grafer!$B$104</c:f>
              <c:strCache>
                <c:ptCount val="1"/>
                <c:pt idx="0">
                  <c:v>Naturgas og LPG</c:v>
                </c:pt>
              </c:strCache>
            </c:strRef>
          </c:tx>
          <c:invertIfNegative val="0"/>
          <c:cat>
            <c:strRef>
              <c:f>Grafer!$C$101:$H$101</c:f>
              <c:strCache>
                <c:ptCount val="3"/>
                <c:pt idx="0">
                  <c:v>2018</c:v>
                </c:pt>
                <c:pt idx="1">
                  <c:v>BAU2030</c:v>
                </c:pt>
                <c:pt idx="2">
                  <c:v>BAU2050</c:v>
                </c:pt>
              </c:strCache>
            </c:strRef>
          </c:cat>
          <c:val>
            <c:numRef>
              <c:f>Grafer!$C$104:$H$104</c:f>
              <c:numCache>
                <c:formatCode>#,##0</c:formatCode>
                <c:ptCount val="6"/>
                <c:pt idx="0">
                  <c:v>0.89</c:v>
                </c:pt>
                <c:pt idx="1">
                  <c:v>0.89</c:v>
                </c:pt>
                <c:pt idx="2">
                  <c:v>0.89</c:v>
                </c:pt>
              </c:numCache>
            </c:numRef>
          </c:val>
          <c:extLst>
            <c:ext xmlns:c16="http://schemas.microsoft.com/office/drawing/2014/chart" uri="{C3380CC4-5D6E-409C-BE32-E72D297353CC}">
              <c16:uniqueId val="{00000002-295F-4037-A890-D197AA563ECF}"/>
            </c:ext>
          </c:extLst>
        </c:ser>
        <c:ser>
          <c:idx val="4"/>
          <c:order val="3"/>
          <c:tx>
            <c:strRef>
              <c:f>Grafer!$B$105</c:f>
              <c:strCache>
                <c:ptCount val="1"/>
                <c:pt idx="0">
                  <c:v>Fuelolie</c:v>
                </c:pt>
              </c:strCache>
            </c:strRef>
          </c:tx>
          <c:invertIfNegative val="0"/>
          <c:cat>
            <c:strRef>
              <c:f>Grafer!$C$101:$H$101</c:f>
              <c:strCache>
                <c:ptCount val="3"/>
                <c:pt idx="0">
                  <c:v>2018</c:v>
                </c:pt>
                <c:pt idx="1">
                  <c:v>BAU2030</c:v>
                </c:pt>
                <c:pt idx="2">
                  <c:v>BAU2050</c:v>
                </c:pt>
              </c:strCache>
            </c:strRef>
          </c:cat>
          <c:val>
            <c:numRef>
              <c:f>Grafer!$C$105:$H$105</c:f>
              <c:numCache>
                <c:formatCode>#,##0</c:formatCode>
                <c:ptCount val="6"/>
                <c:pt idx="0">
                  <c:v>1E-3</c:v>
                </c:pt>
                <c:pt idx="1">
                  <c:v>9.8780000000000005E-4</c:v>
                </c:pt>
                <c:pt idx="2">
                  <c:v>9.8780000000000005E-4</c:v>
                </c:pt>
              </c:numCache>
            </c:numRef>
          </c:val>
          <c:extLst>
            <c:ext xmlns:c16="http://schemas.microsoft.com/office/drawing/2014/chart" uri="{C3380CC4-5D6E-409C-BE32-E72D297353CC}">
              <c16:uniqueId val="{00000003-295F-4037-A890-D197AA563ECF}"/>
            </c:ext>
          </c:extLst>
        </c:ser>
        <c:ser>
          <c:idx val="5"/>
          <c:order val="4"/>
          <c:tx>
            <c:strRef>
              <c:f>Grafer!$B$106</c:f>
              <c:strCache>
                <c:ptCount val="1"/>
                <c:pt idx="0">
                  <c:v>Brændselsolie/diesel</c:v>
                </c:pt>
              </c:strCache>
            </c:strRef>
          </c:tx>
          <c:invertIfNegative val="0"/>
          <c:cat>
            <c:strRef>
              <c:f>Grafer!$C$101:$H$101</c:f>
              <c:strCache>
                <c:ptCount val="3"/>
                <c:pt idx="0">
                  <c:v>2018</c:v>
                </c:pt>
                <c:pt idx="1">
                  <c:v>BAU2030</c:v>
                </c:pt>
                <c:pt idx="2">
                  <c:v>BAU2050</c:v>
                </c:pt>
              </c:strCache>
            </c:strRef>
          </c:cat>
          <c:val>
            <c:numRef>
              <c:f>Grafer!$C$106:$H$106</c:f>
              <c:numCache>
                <c:formatCode>#,##0</c:formatCode>
                <c:ptCount val="6"/>
                <c:pt idx="0">
                  <c:v>81.932789999999997</c:v>
                </c:pt>
                <c:pt idx="1">
                  <c:v>59.795525647000005</c:v>
                </c:pt>
                <c:pt idx="2">
                  <c:v>44.189603589000001</c:v>
                </c:pt>
              </c:numCache>
            </c:numRef>
          </c:val>
          <c:extLst>
            <c:ext xmlns:c16="http://schemas.microsoft.com/office/drawing/2014/chart" uri="{C3380CC4-5D6E-409C-BE32-E72D297353CC}">
              <c16:uniqueId val="{00000004-295F-4037-A890-D197AA563ECF}"/>
            </c:ext>
          </c:extLst>
        </c:ser>
        <c:ser>
          <c:idx val="14"/>
          <c:order val="5"/>
          <c:tx>
            <c:strRef>
              <c:f>Grafer!$B$107</c:f>
              <c:strCache>
                <c:ptCount val="1"/>
                <c:pt idx="0">
                  <c:v>JP1</c:v>
                </c:pt>
              </c:strCache>
            </c:strRef>
          </c:tx>
          <c:spPr>
            <a:solidFill>
              <a:srgbClr val="D9AAA9"/>
            </a:solidFill>
          </c:spPr>
          <c:invertIfNegative val="0"/>
          <c:cat>
            <c:strRef>
              <c:f>Grafer!$C$101:$H$101</c:f>
              <c:strCache>
                <c:ptCount val="3"/>
                <c:pt idx="0">
                  <c:v>2018</c:v>
                </c:pt>
                <c:pt idx="1">
                  <c:v>BAU2030</c:v>
                </c:pt>
                <c:pt idx="2">
                  <c:v>BAU2050</c:v>
                </c:pt>
              </c:strCache>
            </c:strRef>
          </c:cat>
          <c:val>
            <c:numRef>
              <c:f>Grafer!$C$107:$H$107</c:f>
              <c:numCache>
                <c:formatCode>#,##0</c:formatCode>
                <c:ptCount val="6"/>
                <c:pt idx="0">
                  <c:v>13.98</c:v>
                </c:pt>
                <c:pt idx="1">
                  <c:v>16.310466000000002</c:v>
                </c:pt>
                <c:pt idx="2">
                  <c:v>16.310466000000002</c:v>
                </c:pt>
              </c:numCache>
            </c:numRef>
          </c:val>
          <c:extLst>
            <c:ext xmlns:c16="http://schemas.microsoft.com/office/drawing/2014/chart" uri="{C3380CC4-5D6E-409C-BE32-E72D297353CC}">
              <c16:uniqueId val="{00000005-295F-4037-A890-D197AA563ECF}"/>
            </c:ext>
          </c:extLst>
        </c:ser>
        <c:ser>
          <c:idx val="6"/>
          <c:order val="6"/>
          <c:tx>
            <c:strRef>
              <c:f>Grafer!$B$108</c:f>
              <c:strCache>
                <c:ptCount val="1"/>
                <c:pt idx="0">
                  <c:v>Benzin</c:v>
                </c:pt>
              </c:strCache>
            </c:strRef>
          </c:tx>
          <c:invertIfNegative val="0"/>
          <c:cat>
            <c:strRef>
              <c:f>Grafer!$C$101:$H$101</c:f>
              <c:strCache>
                <c:ptCount val="3"/>
                <c:pt idx="0">
                  <c:v>2018</c:v>
                </c:pt>
                <c:pt idx="1">
                  <c:v>BAU2030</c:v>
                </c:pt>
                <c:pt idx="2">
                  <c:v>BAU2050</c:v>
                </c:pt>
              </c:strCache>
            </c:strRef>
          </c:cat>
          <c:val>
            <c:numRef>
              <c:f>Grafer!$C$108:$H$108</c:f>
              <c:numCache>
                <c:formatCode>#,##0</c:formatCode>
                <c:ptCount val="6"/>
                <c:pt idx="0">
                  <c:v>18.057780000000001</c:v>
                </c:pt>
                <c:pt idx="1">
                  <c:v>16.864876500000001</c:v>
                </c:pt>
                <c:pt idx="2">
                  <c:v>3.8081600999999998</c:v>
                </c:pt>
              </c:numCache>
            </c:numRef>
          </c:val>
          <c:extLst>
            <c:ext xmlns:c16="http://schemas.microsoft.com/office/drawing/2014/chart" uri="{C3380CC4-5D6E-409C-BE32-E72D297353CC}">
              <c16:uniqueId val="{00000006-295F-4037-A890-D197AA563ECF}"/>
            </c:ext>
          </c:extLst>
        </c:ser>
        <c:ser>
          <c:idx val="7"/>
          <c:order val="7"/>
          <c:tx>
            <c:strRef>
              <c:f>Grafer!$B$109</c:f>
              <c:strCache>
                <c:ptCount val="1"/>
                <c:pt idx="0">
                  <c:v>Affald, ikke bionedbrydeligt</c:v>
                </c:pt>
              </c:strCache>
            </c:strRef>
          </c:tx>
          <c:invertIfNegative val="0"/>
          <c:cat>
            <c:strRef>
              <c:f>Grafer!$C$101:$H$101</c:f>
              <c:strCache>
                <c:ptCount val="3"/>
                <c:pt idx="0">
                  <c:v>2018</c:v>
                </c:pt>
                <c:pt idx="1">
                  <c:v>BAU2030</c:v>
                </c:pt>
                <c:pt idx="2">
                  <c:v>BAU2050</c:v>
                </c:pt>
              </c:strCache>
            </c:strRef>
          </c:cat>
          <c:val>
            <c:numRef>
              <c:f>Grafer!$C$109:$H$109</c:f>
              <c:numCache>
                <c:formatCode>#,##0</c:formatCode>
                <c:ptCount val="6"/>
                <c:pt idx="0">
                  <c:v>0</c:v>
                </c:pt>
                <c:pt idx="1">
                  <c:v>0</c:v>
                </c:pt>
                <c:pt idx="2">
                  <c:v>0</c:v>
                </c:pt>
              </c:numCache>
            </c:numRef>
          </c:val>
          <c:extLst>
            <c:ext xmlns:c16="http://schemas.microsoft.com/office/drawing/2014/chart" uri="{C3380CC4-5D6E-409C-BE32-E72D297353CC}">
              <c16:uniqueId val="{00000007-295F-4037-A890-D197AA563ECF}"/>
            </c:ext>
          </c:extLst>
        </c:ser>
        <c:ser>
          <c:idx val="8"/>
          <c:order val="8"/>
          <c:tx>
            <c:strRef>
              <c:f>Grafer!$B$110</c:f>
              <c:strCache>
                <c:ptCount val="1"/>
                <c:pt idx="0">
                  <c:v>Affald, bionedbrydeligt</c:v>
                </c:pt>
              </c:strCache>
            </c:strRef>
          </c:tx>
          <c:invertIfNegative val="0"/>
          <c:cat>
            <c:strRef>
              <c:f>Grafer!$C$101:$H$101</c:f>
              <c:strCache>
                <c:ptCount val="3"/>
                <c:pt idx="0">
                  <c:v>2018</c:v>
                </c:pt>
                <c:pt idx="1">
                  <c:v>BAU2030</c:v>
                </c:pt>
                <c:pt idx="2">
                  <c:v>BAU2050</c:v>
                </c:pt>
              </c:strCache>
            </c:strRef>
          </c:cat>
          <c:val>
            <c:numRef>
              <c:f>Grafer!$C$110:$H$110</c:f>
              <c:numCache>
                <c:formatCode>#,##0</c:formatCode>
                <c:ptCount val="6"/>
                <c:pt idx="0">
                  <c:v>0</c:v>
                </c:pt>
                <c:pt idx="1">
                  <c:v>0</c:v>
                </c:pt>
                <c:pt idx="2">
                  <c:v>0</c:v>
                </c:pt>
              </c:numCache>
            </c:numRef>
          </c:val>
          <c:extLst>
            <c:ext xmlns:c16="http://schemas.microsoft.com/office/drawing/2014/chart" uri="{C3380CC4-5D6E-409C-BE32-E72D297353CC}">
              <c16:uniqueId val="{00000008-295F-4037-A890-D197AA563ECF}"/>
            </c:ext>
          </c:extLst>
        </c:ser>
        <c:ser>
          <c:idx val="9"/>
          <c:order val="9"/>
          <c:tx>
            <c:strRef>
              <c:f>Grafer!$B$111</c:f>
              <c:strCache>
                <c:ptCount val="1"/>
                <c:pt idx="0">
                  <c:v>Biomasse</c:v>
                </c:pt>
              </c:strCache>
            </c:strRef>
          </c:tx>
          <c:invertIfNegative val="0"/>
          <c:cat>
            <c:strRef>
              <c:f>Grafer!$C$101:$H$101</c:f>
              <c:strCache>
                <c:ptCount val="3"/>
                <c:pt idx="0">
                  <c:v>2018</c:v>
                </c:pt>
                <c:pt idx="1">
                  <c:v>BAU2030</c:v>
                </c:pt>
                <c:pt idx="2">
                  <c:v>BAU2050</c:v>
                </c:pt>
              </c:strCache>
            </c:strRef>
          </c:cat>
          <c:val>
            <c:numRef>
              <c:f>Grafer!$C$111:$H$111</c:f>
              <c:numCache>
                <c:formatCode>#,##0</c:formatCode>
                <c:ptCount val="6"/>
                <c:pt idx="0">
                  <c:v>71.532429999999991</c:v>
                </c:pt>
                <c:pt idx="1">
                  <c:v>73.548667590999997</c:v>
                </c:pt>
                <c:pt idx="2">
                  <c:v>70.268807810999988</c:v>
                </c:pt>
              </c:numCache>
            </c:numRef>
          </c:val>
          <c:extLst>
            <c:ext xmlns:c16="http://schemas.microsoft.com/office/drawing/2014/chart" uri="{C3380CC4-5D6E-409C-BE32-E72D297353CC}">
              <c16:uniqueId val="{00000009-295F-4037-A890-D197AA563ECF}"/>
            </c:ext>
          </c:extLst>
        </c:ser>
        <c:ser>
          <c:idx val="10"/>
          <c:order val="10"/>
          <c:tx>
            <c:strRef>
              <c:f>Grafer!$B$112</c:f>
              <c:strCache>
                <c:ptCount val="1"/>
                <c:pt idx="0">
                  <c:v>Vindenergi</c:v>
                </c:pt>
              </c:strCache>
            </c:strRef>
          </c:tx>
          <c:invertIfNegative val="0"/>
          <c:cat>
            <c:strRef>
              <c:f>Grafer!$C$101:$H$101</c:f>
              <c:strCache>
                <c:ptCount val="3"/>
                <c:pt idx="0">
                  <c:v>2018</c:v>
                </c:pt>
                <c:pt idx="1">
                  <c:v>BAU2030</c:v>
                </c:pt>
                <c:pt idx="2">
                  <c:v>BAU2050</c:v>
                </c:pt>
              </c:strCache>
            </c:strRef>
          </c:cat>
          <c:val>
            <c:numRef>
              <c:f>Grafer!$C$112:$H$112</c:f>
              <c:numCache>
                <c:formatCode>#,##0</c:formatCode>
                <c:ptCount val="6"/>
                <c:pt idx="0">
                  <c:v>0.5</c:v>
                </c:pt>
                <c:pt idx="1">
                  <c:v>-6.9644848000000037E-2</c:v>
                </c:pt>
                <c:pt idx="2">
                  <c:v>-6.9644848000000037E-2</c:v>
                </c:pt>
              </c:numCache>
            </c:numRef>
          </c:val>
          <c:extLst>
            <c:ext xmlns:c16="http://schemas.microsoft.com/office/drawing/2014/chart" uri="{C3380CC4-5D6E-409C-BE32-E72D297353CC}">
              <c16:uniqueId val="{0000000A-295F-4037-A890-D197AA563ECF}"/>
            </c:ext>
          </c:extLst>
        </c:ser>
        <c:ser>
          <c:idx val="11"/>
          <c:order val="11"/>
          <c:tx>
            <c:strRef>
              <c:f>Grafer!$B$113</c:f>
              <c:strCache>
                <c:ptCount val="1"/>
                <c:pt idx="0">
                  <c:v>Biogas</c:v>
                </c:pt>
              </c:strCache>
            </c:strRef>
          </c:tx>
          <c:invertIfNegative val="0"/>
          <c:cat>
            <c:strRef>
              <c:f>Grafer!$C$101:$H$101</c:f>
              <c:strCache>
                <c:ptCount val="3"/>
                <c:pt idx="0">
                  <c:v>2018</c:v>
                </c:pt>
                <c:pt idx="1">
                  <c:v>BAU2030</c:v>
                </c:pt>
                <c:pt idx="2">
                  <c:v>BAU2050</c:v>
                </c:pt>
              </c:strCache>
            </c:strRef>
          </c:cat>
          <c:val>
            <c:numRef>
              <c:f>Grafer!$C$113:$H$113</c:f>
              <c:numCache>
                <c:formatCode>#,##0</c:formatCode>
                <c:ptCount val="6"/>
                <c:pt idx="0">
                  <c:v>0</c:v>
                </c:pt>
                <c:pt idx="1">
                  <c:v>0</c:v>
                </c:pt>
                <c:pt idx="2">
                  <c:v>0</c:v>
                </c:pt>
              </c:numCache>
            </c:numRef>
          </c:val>
          <c:extLst>
            <c:ext xmlns:c16="http://schemas.microsoft.com/office/drawing/2014/chart" uri="{C3380CC4-5D6E-409C-BE32-E72D297353CC}">
              <c16:uniqueId val="{0000000B-295F-4037-A890-D197AA563ECF}"/>
            </c:ext>
          </c:extLst>
        </c:ser>
        <c:ser>
          <c:idx val="12"/>
          <c:order val="12"/>
          <c:tx>
            <c:strRef>
              <c:f>Grafer!$B$114</c:f>
              <c:strCache>
                <c:ptCount val="1"/>
                <c:pt idx="0">
                  <c:v>Solenergi</c:v>
                </c:pt>
              </c:strCache>
            </c:strRef>
          </c:tx>
          <c:invertIfNegative val="0"/>
          <c:cat>
            <c:strRef>
              <c:f>Grafer!$C$101:$H$101</c:f>
              <c:strCache>
                <c:ptCount val="3"/>
                <c:pt idx="0">
                  <c:v>2018</c:v>
                </c:pt>
                <c:pt idx="1">
                  <c:v>BAU2030</c:v>
                </c:pt>
                <c:pt idx="2">
                  <c:v>BAU2050</c:v>
                </c:pt>
              </c:strCache>
            </c:strRef>
          </c:cat>
          <c:val>
            <c:numRef>
              <c:f>Grafer!$C$114:$H$114</c:f>
              <c:numCache>
                <c:formatCode>#,##0</c:formatCode>
                <c:ptCount val="6"/>
                <c:pt idx="0">
                  <c:v>19.05</c:v>
                </c:pt>
                <c:pt idx="1">
                  <c:v>19.0136</c:v>
                </c:pt>
                <c:pt idx="2">
                  <c:v>18.959</c:v>
                </c:pt>
              </c:numCache>
            </c:numRef>
          </c:val>
          <c:extLst>
            <c:ext xmlns:c16="http://schemas.microsoft.com/office/drawing/2014/chart" uri="{C3380CC4-5D6E-409C-BE32-E72D297353CC}">
              <c16:uniqueId val="{0000000C-295F-4037-A890-D197AA563ECF}"/>
            </c:ext>
          </c:extLst>
        </c:ser>
        <c:ser>
          <c:idx val="0"/>
          <c:order val="13"/>
          <c:tx>
            <c:strRef>
              <c:f>Grafer!$B$115</c:f>
              <c:strCache>
                <c:ptCount val="1"/>
                <c:pt idx="0">
                  <c:v>Jordvarme, geotermi, vandkraft mm.</c:v>
                </c:pt>
              </c:strCache>
            </c:strRef>
          </c:tx>
          <c:invertIfNegative val="0"/>
          <c:cat>
            <c:strRef>
              <c:f>Grafer!$C$101:$H$101</c:f>
              <c:strCache>
                <c:ptCount val="3"/>
                <c:pt idx="0">
                  <c:v>2018</c:v>
                </c:pt>
                <c:pt idx="1">
                  <c:v>BAU2030</c:v>
                </c:pt>
                <c:pt idx="2">
                  <c:v>BAU2050</c:v>
                </c:pt>
              </c:strCache>
            </c:strRef>
          </c:cat>
          <c:val>
            <c:numRef>
              <c:f>Grafer!$C$115:$H$115</c:f>
              <c:numCache>
                <c:formatCode>#,##0</c:formatCode>
                <c:ptCount val="6"/>
                <c:pt idx="0">
                  <c:v>1.0999999999999999</c:v>
                </c:pt>
                <c:pt idx="1">
                  <c:v>8.0557999999999996</c:v>
                </c:pt>
                <c:pt idx="2">
                  <c:v>10.247</c:v>
                </c:pt>
              </c:numCache>
            </c:numRef>
          </c:val>
          <c:extLst>
            <c:ext xmlns:c16="http://schemas.microsoft.com/office/drawing/2014/chart" uri="{C3380CC4-5D6E-409C-BE32-E72D297353CC}">
              <c16:uniqueId val="{0000000D-295F-4037-A890-D197AA563ECF}"/>
            </c:ext>
          </c:extLst>
        </c:ser>
        <c:ser>
          <c:idx val="13"/>
          <c:order val="14"/>
          <c:tx>
            <c:strRef>
              <c:f>Grafer!$B$116</c:f>
              <c:strCache>
                <c:ptCount val="1"/>
                <c:pt idx="0">
                  <c:v>Elimport (VE-baseret)</c:v>
                </c:pt>
              </c:strCache>
            </c:strRef>
          </c:tx>
          <c:spPr>
            <a:solidFill>
              <a:srgbClr val="C6D6AC"/>
            </a:solidFill>
          </c:spPr>
          <c:invertIfNegative val="0"/>
          <c:cat>
            <c:strRef>
              <c:f>Grafer!$C$101:$H$101</c:f>
              <c:strCache>
                <c:ptCount val="3"/>
                <c:pt idx="0">
                  <c:v>2018</c:v>
                </c:pt>
                <c:pt idx="1">
                  <c:v>BAU2030</c:v>
                </c:pt>
                <c:pt idx="2">
                  <c:v>BAU2050</c:v>
                </c:pt>
              </c:strCache>
            </c:strRef>
          </c:cat>
          <c:val>
            <c:numRef>
              <c:f>Grafer!$C$116:$H$116</c:f>
              <c:numCache>
                <c:formatCode>#,##0</c:formatCode>
                <c:ptCount val="6"/>
                <c:pt idx="0">
                  <c:v>16.056524748720033</c:v>
                </c:pt>
                <c:pt idx="1">
                  <c:v>44.480998126055781</c:v>
                </c:pt>
                <c:pt idx="2">
                  <c:v>54.220481603592688</c:v>
                </c:pt>
              </c:numCache>
            </c:numRef>
          </c:val>
          <c:extLst>
            <c:ext xmlns:c16="http://schemas.microsoft.com/office/drawing/2014/chart" uri="{C3380CC4-5D6E-409C-BE32-E72D297353CC}">
              <c16:uniqueId val="{0000000E-295F-4037-A890-D197AA563ECF}"/>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Grafer!$C$102:$C$116</c:f>
              <c:numCache>
                <c:formatCode>#,##0</c:formatCode>
                <c:ptCount val="15"/>
                <c:pt idx="0">
                  <c:v>20.435576952916406</c:v>
                </c:pt>
                <c:pt idx="1">
                  <c:v>0</c:v>
                </c:pt>
                <c:pt idx="2">
                  <c:v>0.89</c:v>
                </c:pt>
                <c:pt idx="3">
                  <c:v>1E-3</c:v>
                </c:pt>
                <c:pt idx="4">
                  <c:v>81.932789999999997</c:v>
                </c:pt>
                <c:pt idx="5">
                  <c:v>13.98</c:v>
                </c:pt>
                <c:pt idx="6">
                  <c:v>18.057780000000001</c:v>
                </c:pt>
                <c:pt idx="7">
                  <c:v>0</c:v>
                </c:pt>
                <c:pt idx="8">
                  <c:v>0</c:v>
                </c:pt>
                <c:pt idx="9">
                  <c:v>71.532429999999991</c:v>
                </c:pt>
                <c:pt idx="10">
                  <c:v>0.5</c:v>
                </c:pt>
                <c:pt idx="11">
                  <c:v>0</c:v>
                </c:pt>
                <c:pt idx="12">
                  <c:v>19.05</c:v>
                </c:pt>
                <c:pt idx="13">
                  <c:v>1.0999999999999999</c:v>
                </c:pt>
                <c:pt idx="14">
                  <c:v>16.056524748720033</c:v>
                </c:pt>
              </c:numCache>
            </c:numRef>
          </c:val>
          <c:extLst>
            <c:ext xmlns:c16="http://schemas.microsoft.com/office/drawing/2014/chart" uri="{C3380CC4-5D6E-409C-BE32-E72D297353CC}">
              <c16:uniqueId val="{00000000-0B89-4F12-909B-2D965DE63F44}"/>
            </c:ext>
          </c:extLst>
        </c:ser>
        <c:ser>
          <c:idx val="3"/>
          <c:order val="1"/>
          <c:tx>
            <c:strRef>
              <c:f>Grafer!$H$101</c:f>
              <c:strCache>
                <c:ptCount val="1"/>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Grafer!$H$102:$H$116</c:f>
              <c:numCache>
                <c:formatCode>#,##0</c:formatCode>
                <c:ptCount val="15"/>
              </c:numCache>
            </c:numRef>
          </c:val>
          <c:extLst>
            <c:ext xmlns:c16="http://schemas.microsoft.com/office/drawing/2014/chart" uri="{C3380CC4-5D6E-409C-BE32-E72D297353CC}">
              <c16:uniqueId val="{00000001-0B89-4F12-909B-2D965DE63F44}"/>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da-DK"/>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Grafer!$C$110:$C$116</c:f>
              <c:numCache>
                <c:formatCode>#,##0</c:formatCode>
                <c:ptCount val="7"/>
                <c:pt idx="0">
                  <c:v>0</c:v>
                </c:pt>
                <c:pt idx="1">
                  <c:v>71.532429999999991</c:v>
                </c:pt>
                <c:pt idx="2">
                  <c:v>0.5</c:v>
                </c:pt>
                <c:pt idx="3">
                  <c:v>0</c:v>
                </c:pt>
                <c:pt idx="4">
                  <c:v>19.05</c:v>
                </c:pt>
                <c:pt idx="5">
                  <c:v>1.0999999999999999</c:v>
                </c:pt>
                <c:pt idx="6">
                  <c:v>16.056524748720033</c:v>
                </c:pt>
              </c:numCache>
            </c:numRef>
          </c:val>
          <c:extLst>
            <c:ext xmlns:c16="http://schemas.microsoft.com/office/drawing/2014/chart" uri="{C3380CC4-5D6E-409C-BE32-E72D297353CC}">
              <c16:uniqueId val="{00000000-5EEF-46D6-9473-6C86B83379D2}"/>
            </c:ext>
          </c:extLst>
        </c:ser>
        <c:ser>
          <c:idx val="3"/>
          <c:order val="1"/>
          <c:tx>
            <c:strRef>
              <c:f>Grafer!$H$101</c:f>
              <c:strCache>
                <c:ptCount val="1"/>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Grafer!$H$110:$H$116</c:f>
              <c:numCache>
                <c:formatCode>#,##0</c:formatCode>
                <c:ptCount val="7"/>
              </c:numCache>
            </c:numRef>
          </c:val>
          <c:extLst>
            <c:ext xmlns:c16="http://schemas.microsoft.com/office/drawing/2014/chart" uri="{C3380CC4-5D6E-409C-BE32-E72D297353CC}">
              <c16:uniqueId val="{00000001-5EEF-46D6-9473-6C86B83379D2}"/>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Grafer!$C$563</c:f>
              <c:strCache>
                <c:ptCount val="1"/>
                <c:pt idx="0">
                  <c:v>2018</c:v>
                </c:pt>
              </c:strCache>
            </c:strRef>
          </c:tx>
          <c:spPr>
            <a:solidFill>
              <a:schemeClr val="accent5"/>
            </a:solidFill>
          </c:spPr>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Grafer!$C$564:$C$571</c:f>
              <c:numCache>
                <c:formatCode>#,##0</c:formatCode>
                <c:ptCount val="8"/>
                <c:pt idx="0">
                  <c:v>4.5293996632071147</c:v>
                </c:pt>
                <c:pt idx="1">
                  <c:v>0</c:v>
                </c:pt>
                <c:pt idx="2">
                  <c:v>5.6159000000000001E-2</c:v>
                </c:pt>
                <c:pt idx="3">
                  <c:v>7.887999999999999E-5</c:v>
                </c:pt>
                <c:pt idx="4">
                  <c:v>6.0630264599999997</c:v>
                </c:pt>
                <c:pt idx="5">
                  <c:v>1.0065600000000001</c:v>
                </c:pt>
                <c:pt idx="6">
                  <c:v>1.31821794</c:v>
                </c:pt>
                <c:pt idx="7">
                  <c:v>0</c:v>
                </c:pt>
              </c:numCache>
            </c:numRef>
          </c:val>
          <c:extLst>
            <c:ext xmlns:c16="http://schemas.microsoft.com/office/drawing/2014/chart" uri="{C3380CC4-5D6E-409C-BE32-E72D297353CC}">
              <c16:uniqueId val="{00000000-D25E-4E7A-AAA7-BDA864E03928}"/>
            </c:ext>
          </c:extLst>
        </c:ser>
        <c:ser>
          <c:idx val="3"/>
          <c:order val="1"/>
          <c:tx>
            <c:strRef>
              <c:f>Grafer!$H$563</c:f>
              <c:strCache>
                <c:ptCount val="1"/>
              </c:strCache>
            </c:strRef>
          </c:tx>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Grafer!$H$564:$H$571</c:f>
              <c:numCache>
                <c:formatCode>#,##0</c:formatCode>
                <c:ptCount val="8"/>
              </c:numCache>
            </c:numRef>
          </c:val>
          <c:extLst>
            <c:ext xmlns:c16="http://schemas.microsoft.com/office/drawing/2014/chart" uri="{C3380CC4-5D6E-409C-BE32-E72D297353CC}">
              <c16:uniqueId val="{00000001-D25E-4E7A-AAA7-BDA864E03928}"/>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da-DK"/>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Grafer!$C$304</c:f>
              <c:strCache>
                <c:ptCount val="1"/>
                <c:pt idx="0">
                  <c:v>2018</c:v>
                </c:pt>
              </c:strCache>
            </c:strRef>
          </c:tx>
          <c:spPr>
            <a:solidFill>
              <a:schemeClr val="accent5"/>
            </a:solidFill>
          </c:spPr>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Grafer!$C$305:$C$310</c:f>
              <c:numCache>
                <c:formatCode>#,##0</c:formatCode>
                <c:ptCount val="6"/>
                <c:pt idx="0">
                  <c:v>63.169999999999995</c:v>
                </c:pt>
                <c:pt idx="1">
                  <c:v>21.718</c:v>
                </c:pt>
                <c:pt idx="2">
                  <c:v>10.89</c:v>
                </c:pt>
                <c:pt idx="3">
                  <c:v>92.626000000000019</c:v>
                </c:pt>
                <c:pt idx="4">
                  <c:v>18.64</c:v>
                </c:pt>
                <c:pt idx="5">
                  <c:v>36.492101701636436</c:v>
                </c:pt>
              </c:numCache>
            </c:numRef>
          </c:val>
          <c:extLst>
            <c:ext xmlns:c16="http://schemas.microsoft.com/office/drawing/2014/chart" uri="{C3380CC4-5D6E-409C-BE32-E72D297353CC}">
              <c16:uniqueId val="{00000000-316A-4292-9807-7B5AE9F50436}"/>
            </c:ext>
          </c:extLst>
        </c:ser>
        <c:ser>
          <c:idx val="3"/>
          <c:order val="1"/>
          <c:tx>
            <c:strRef>
              <c:f>Grafer!$H$304</c:f>
              <c:strCache>
                <c:ptCount val="1"/>
                <c:pt idx="0">
                  <c:v>BAU2050</c:v>
                </c:pt>
              </c:strCache>
            </c:strRef>
          </c:tx>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Grafer!$H$305:$H$310</c:f>
              <c:numCache>
                <c:formatCode>#,##0</c:formatCode>
                <c:ptCount val="6"/>
                <c:pt idx="0">
                  <c:v>0</c:v>
                </c:pt>
                <c:pt idx="1">
                  <c:v>0</c:v>
                </c:pt>
                <c:pt idx="2">
                  <c:v>0</c:v>
                </c:pt>
                <c:pt idx="3">
                  <c:v>2.4618078109999999</c:v>
                </c:pt>
                <c:pt idx="4">
                  <c:v>18.417355152000003</c:v>
                </c:pt>
                <c:pt idx="5">
                  <c:v>54.220481603592688</c:v>
                </c:pt>
              </c:numCache>
            </c:numRef>
          </c:val>
          <c:extLst>
            <c:ext xmlns:c16="http://schemas.microsoft.com/office/drawing/2014/chart" uri="{C3380CC4-5D6E-409C-BE32-E72D297353CC}">
              <c16:uniqueId val="{00000001-316A-4292-9807-7B5AE9F50436}"/>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Grafer!$D$403</c:f>
              <c:strCache>
                <c:ptCount val="1"/>
                <c:pt idx="0">
                  <c:v>VE</c:v>
                </c:pt>
              </c:strCache>
            </c:strRef>
          </c:tx>
          <c:spPr>
            <a:solidFill>
              <a:schemeClr val="accent3"/>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Grafer!$D$404:$D$415</c:f>
              <c:numCache>
                <c:formatCode>#,##0</c:formatCode>
                <c:ptCount val="12"/>
                <c:pt idx="0">
                  <c:v>0</c:v>
                </c:pt>
                <c:pt idx="1">
                  <c:v>0</c:v>
                </c:pt>
                <c:pt idx="2">
                  <c:v>0</c:v>
                </c:pt>
                <c:pt idx="3">
                  <c:v>0</c:v>
                </c:pt>
                <c:pt idx="4">
                  <c:v>0</c:v>
                </c:pt>
                <c:pt idx="5">
                  <c:v>0</c:v>
                </c:pt>
                <c:pt idx="6">
                  <c:v>3.9024300000000003</c:v>
                </c:pt>
                <c:pt idx="7">
                  <c:v>0</c:v>
                </c:pt>
                <c:pt idx="8">
                  <c:v>18.64</c:v>
                </c:pt>
                <c:pt idx="9">
                  <c:v>0</c:v>
                </c:pt>
                <c:pt idx="10">
                  <c:v>16.056524748720033</c:v>
                </c:pt>
                <c:pt idx="11">
                  <c:v>0</c:v>
                </c:pt>
              </c:numCache>
            </c:numRef>
          </c:val>
          <c:extLst>
            <c:ext xmlns:c16="http://schemas.microsoft.com/office/drawing/2014/chart" uri="{C3380CC4-5D6E-409C-BE32-E72D297353CC}">
              <c16:uniqueId val="{00000000-2C50-4690-8873-63A776BE8627}"/>
            </c:ext>
          </c:extLst>
        </c:ser>
        <c:ser>
          <c:idx val="1"/>
          <c:order val="1"/>
          <c:tx>
            <c:strRef>
              <c:f>Grafer!$E$403</c:f>
              <c:strCache>
                <c:ptCount val="1"/>
                <c:pt idx="0">
                  <c:v>Fossil</c:v>
                </c:pt>
              </c:strCache>
            </c:strRef>
          </c:tx>
          <c:spPr>
            <a:solidFill>
              <a:schemeClr val="accent1">
                <a:lumMod val="75000"/>
              </a:schemeClr>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Grafer!$E$404:$E$415</c:f>
              <c:numCache>
                <c:formatCode>#,##0</c:formatCode>
                <c:ptCount val="12"/>
                <c:pt idx="0">
                  <c:v>0</c:v>
                </c:pt>
                <c:pt idx="1">
                  <c:v>0</c:v>
                </c:pt>
                <c:pt idx="2">
                  <c:v>0</c:v>
                </c:pt>
                <c:pt idx="3">
                  <c:v>0</c:v>
                </c:pt>
                <c:pt idx="4">
                  <c:v>0</c:v>
                </c:pt>
                <c:pt idx="5">
                  <c:v>0</c:v>
                </c:pt>
                <c:pt idx="6">
                  <c:v>88.723570000000024</c:v>
                </c:pt>
                <c:pt idx="7">
                  <c:v>0</c:v>
                </c:pt>
                <c:pt idx="8">
                  <c:v>0</c:v>
                </c:pt>
                <c:pt idx="9">
                  <c:v>0</c:v>
                </c:pt>
                <c:pt idx="10">
                  <c:v>20.435576952916403</c:v>
                </c:pt>
                <c:pt idx="11">
                  <c:v>0</c:v>
                </c:pt>
              </c:numCache>
            </c:numRef>
          </c:val>
          <c:extLst>
            <c:ext xmlns:c16="http://schemas.microsoft.com/office/drawing/2014/chart" uri="{C3380CC4-5D6E-409C-BE32-E72D297353CC}">
              <c16:uniqueId val="{00000001-2C50-4690-8873-63A776BE8627}"/>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72222222222213E-2"/>
          <c:y val="3.465346534653465E-2"/>
          <c:w val="0.78242305555555569"/>
          <c:h val="0.85396039603960394"/>
        </c:manualLayout>
      </c:layout>
      <c:barChart>
        <c:barDir val="col"/>
        <c:grouping val="clustered"/>
        <c:varyColors val="0"/>
        <c:ser>
          <c:idx val="0"/>
          <c:order val="0"/>
          <c:tx>
            <c:strRef>
              <c:f>Grafer!$C$449</c:f>
              <c:strCache>
                <c:ptCount val="1"/>
                <c:pt idx="0">
                  <c:v>2018</c:v>
                </c:pt>
              </c:strCache>
            </c:strRef>
          </c:tx>
          <c:spPr>
            <a:solidFill>
              <a:schemeClr val="accent5"/>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18.62</c:v>
                </c:pt>
                <c:pt idx="1">
                  <c:v>14.66</c:v>
                </c:pt>
                <c:pt idx="2">
                  <c:v>14.070000000000002</c:v>
                </c:pt>
                <c:pt idx="3">
                  <c:v>1.2700000000000002</c:v>
                </c:pt>
                <c:pt idx="4">
                  <c:v>19.63</c:v>
                </c:pt>
                <c:pt idx="5">
                  <c:v>7.43</c:v>
                </c:pt>
                <c:pt idx="6">
                  <c:v>0.95</c:v>
                </c:pt>
                <c:pt idx="7">
                  <c:v>13.995000000000001</c:v>
                </c:pt>
                <c:pt idx="8">
                  <c:v>2.0009999999999999</c:v>
                </c:pt>
              </c:numCache>
            </c:numRef>
          </c:val>
          <c:extLst>
            <c:ext xmlns:c16="http://schemas.microsoft.com/office/drawing/2014/chart" uri="{C3380CC4-5D6E-409C-BE32-E72D297353CC}">
              <c16:uniqueId val="{00000000-AD42-4BA1-A707-FE4F2A5E323F}"/>
            </c:ext>
          </c:extLst>
        </c:ser>
        <c:ser>
          <c:idx val="2"/>
          <c:order val="1"/>
          <c:tx>
            <c:strRef>
              <c:f>Grafer!$H$449</c:f>
              <c:strCache>
                <c:ptCount val="1"/>
              </c:strCache>
            </c:strRef>
          </c:tx>
          <c:spPr>
            <a:solidFill>
              <a:schemeClr val="accent4"/>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Grafer!$H$450:$H$458</c:f>
              <c:numCache>
                <c:formatCode>#,##0</c:formatCode>
                <c:ptCount val="9"/>
              </c:numCache>
            </c:numRef>
          </c:val>
          <c:extLst>
            <c:ext xmlns:c16="http://schemas.microsoft.com/office/drawing/2014/chart" uri="{C3380CC4-5D6E-409C-BE32-E72D297353CC}">
              <c16:uniqueId val="{00000001-AD42-4BA1-A707-FE4F2A5E323F}"/>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Grafer!$E$449</c:f>
              <c:strCache>
                <c:ptCount val="1"/>
                <c:pt idx="0">
                  <c:v>BAU2050</c:v>
                </c:pt>
              </c:strCache>
            </c:strRef>
          </c:tx>
          <c:dPt>
            <c:idx val="2"/>
            <c:bubble3D val="0"/>
            <c:spPr>
              <a:solidFill>
                <a:srgbClr val="71588F"/>
              </a:solidFill>
            </c:spPr>
            <c:extLst>
              <c:ext xmlns:c16="http://schemas.microsoft.com/office/drawing/2014/chart" uri="{C3380CC4-5D6E-409C-BE32-E72D297353CC}">
                <c16:uniqueId val="{00000001-B6EB-46B5-8E89-5A323297987B}"/>
              </c:ext>
            </c:extLst>
          </c:dPt>
          <c:dPt>
            <c:idx val="3"/>
            <c:bubble3D val="0"/>
            <c:spPr>
              <a:solidFill>
                <a:srgbClr val="89A54E"/>
              </a:solidFill>
            </c:spPr>
            <c:extLst>
              <c:ext xmlns:c16="http://schemas.microsoft.com/office/drawing/2014/chart" uri="{C3380CC4-5D6E-409C-BE32-E72D297353CC}">
                <c16:uniqueId val="{00000003-B6EB-46B5-8E89-5A323297987B}"/>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Grafer!$E$450:$E$458</c:f>
              <c:numCache>
                <c:formatCode>#,##0</c:formatCode>
                <c:ptCount val="9"/>
                <c:pt idx="0">
                  <c:v>4.0219199999999997</c:v>
                </c:pt>
                <c:pt idx="1">
                  <c:v>2.9026799999999993</c:v>
                </c:pt>
                <c:pt idx="2">
                  <c:v>13.706994</c:v>
                </c:pt>
                <c:pt idx="3">
                  <c:v>1.0863579999999999</c:v>
                </c:pt>
                <c:pt idx="4">
                  <c:v>18.870319000000002</c:v>
                </c:pt>
                <c:pt idx="5">
                  <c:v>7.43</c:v>
                </c:pt>
                <c:pt idx="6">
                  <c:v>0</c:v>
                </c:pt>
                <c:pt idx="7">
                  <c:v>16.327966500000002</c:v>
                </c:pt>
                <c:pt idx="8">
                  <c:v>1.9765878000000001</c:v>
                </c:pt>
              </c:numCache>
            </c:numRef>
          </c:val>
          <c:extLst>
            <c:ext xmlns:c16="http://schemas.microsoft.com/office/drawing/2014/chart" uri="{C3380CC4-5D6E-409C-BE32-E72D297353CC}">
              <c16:uniqueId val="{00000004-B6EB-46B5-8E89-5A323297987B}"/>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Grafer!$B$110</c:f>
              <c:strCache>
                <c:ptCount val="1"/>
                <c:pt idx="0">
                  <c:v>Affald, bionedbrydeligt</c:v>
                </c:pt>
              </c:strCache>
            </c:strRef>
          </c:tx>
          <c:invertIfNegative val="0"/>
          <c:cat>
            <c:strRef>
              <c:f>Grafer!$C$101:$H$101</c:f>
              <c:strCache>
                <c:ptCount val="3"/>
                <c:pt idx="0">
                  <c:v>2018</c:v>
                </c:pt>
                <c:pt idx="1">
                  <c:v>BAU2030</c:v>
                </c:pt>
                <c:pt idx="2">
                  <c:v>BAU2050</c:v>
                </c:pt>
              </c:strCache>
            </c:strRef>
          </c:cat>
          <c:val>
            <c:numRef>
              <c:f>Grafer!$C$110:$H$110</c:f>
              <c:numCache>
                <c:formatCode>#,##0</c:formatCode>
                <c:ptCount val="6"/>
                <c:pt idx="0">
                  <c:v>0</c:v>
                </c:pt>
                <c:pt idx="1">
                  <c:v>0</c:v>
                </c:pt>
                <c:pt idx="2">
                  <c:v>0</c:v>
                </c:pt>
              </c:numCache>
            </c:numRef>
          </c:val>
          <c:extLst>
            <c:ext xmlns:c16="http://schemas.microsoft.com/office/drawing/2014/chart" uri="{C3380CC4-5D6E-409C-BE32-E72D297353CC}">
              <c16:uniqueId val="{00000000-BAF8-4F11-8104-30304EF31D77}"/>
            </c:ext>
          </c:extLst>
        </c:ser>
        <c:ser>
          <c:idx val="1"/>
          <c:order val="1"/>
          <c:tx>
            <c:strRef>
              <c:f>Grafer!$B$111</c:f>
              <c:strCache>
                <c:ptCount val="1"/>
                <c:pt idx="0">
                  <c:v>Biomasse</c:v>
                </c:pt>
              </c:strCache>
            </c:strRef>
          </c:tx>
          <c:invertIfNegative val="0"/>
          <c:cat>
            <c:strRef>
              <c:f>Grafer!$C$101:$H$101</c:f>
              <c:strCache>
                <c:ptCount val="3"/>
                <c:pt idx="0">
                  <c:v>2018</c:v>
                </c:pt>
                <c:pt idx="1">
                  <c:v>BAU2030</c:v>
                </c:pt>
                <c:pt idx="2">
                  <c:v>BAU2050</c:v>
                </c:pt>
              </c:strCache>
            </c:strRef>
          </c:cat>
          <c:val>
            <c:numRef>
              <c:f>Grafer!$C$111:$H$111</c:f>
              <c:numCache>
                <c:formatCode>#,##0</c:formatCode>
                <c:ptCount val="6"/>
                <c:pt idx="0">
                  <c:v>71.532429999999991</c:v>
                </c:pt>
                <c:pt idx="1">
                  <c:v>73.548667590999997</c:v>
                </c:pt>
                <c:pt idx="2">
                  <c:v>70.268807810999988</c:v>
                </c:pt>
              </c:numCache>
            </c:numRef>
          </c:val>
          <c:extLst>
            <c:ext xmlns:c16="http://schemas.microsoft.com/office/drawing/2014/chart" uri="{C3380CC4-5D6E-409C-BE32-E72D297353CC}">
              <c16:uniqueId val="{00000001-BAF8-4F11-8104-30304EF31D77}"/>
            </c:ext>
          </c:extLst>
        </c:ser>
        <c:ser>
          <c:idx val="2"/>
          <c:order val="2"/>
          <c:tx>
            <c:strRef>
              <c:f>Grafer!$B$112</c:f>
              <c:strCache>
                <c:ptCount val="1"/>
                <c:pt idx="0">
                  <c:v>Vindenergi</c:v>
                </c:pt>
              </c:strCache>
            </c:strRef>
          </c:tx>
          <c:invertIfNegative val="0"/>
          <c:cat>
            <c:strRef>
              <c:f>Grafer!$C$101:$H$101</c:f>
              <c:strCache>
                <c:ptCount val="3"/>
                <c:pt idx="0">
                  <c:v>2018</c:v>
                </c:pt>
                <c:pt idx="1">
                  <c:v>BAU2030</c:v>
                </c:pt>
                <c:pt idx="2">
                  <c:v>BAU2050</c:v>
                </c:pt>
              </c:strCache>
            </c:strRef>
          </c:cat>
          <c:val>
            <c:numRef>
              <c:f>Grafer!$C$112:$H$112</c:f>
              <c:numCache>
                <c:formatCode>#,##0</c:formatCode>
                <c:ptCount val="6"/>
                <c:pt idx="0">
                  <c:v>0.5</c:v>
                </c:pt>
                <c:pt idx="1">
                  <c:v>-6.9644848000000037E-2</c:v>
                </c:pt>
                <c:pt idx="2">
                  <c:v>-6.9644848000000037E-2</c:v>
                </c:pt>
              </c:numCache>
            </c:numRef>
          </c:val>
          <c:extLst>
            <c:ext xmlns:c16="http://schemas.microsoft.com/office/drawing/2014/chart" uri="{C3380CC4-5D6E-409C-BE32-E72D297353CC}">
              <c16:uniqueId val="{00000002-BAF8-4F11-8104-30304EF31D77}"/>
            </c:ext>
          </c:extLst>
        </c:ser>
        <c:ser>
          <c:idx val="3"/>
          <c:order val="3"/>
          <c:tx>
            <c:strRef>
              <c:f>Grafer!$B$113</c:f>
              <c:strCache>
                <c:ptCount val="1"/>
                <c:pt idx="0">
                  <c:v>Biogas</c:v>
                </c:pt>
              </c:strCache>
            </c:strRef>
          </c:tx>
          <c:invertIfNegative val="0"/>
          <c:cat>
            <c:strRef>
              <c:f>Grafer!$C$101:$H$101</c:f>
              <c:strCache>
                <c:ptCount val="3"/>
                <c:pt idx="0">
                  <c:v>2018</c:v>
                </c:pt>
                <c:pt idx="1">
                  <c:v>BAU2030</c:v>
                </c:pt>
                <c:pt idx="2">
                  <c:v>BAU2050</c:v>
                </c:pt>
              </c:strCache>
            </c:strRef>
          </c:cat>
          <c:val>
            <c:numRef>
              <c:f>Grafer!$C$113:$H$113</c:f>
              <c:numCache>
                <c:formatCode>#,##0</c:formatCode>
                <c:ptCount val="6"/>
                <c:pt idx="0">
                  <c:v>0</c:v>
                </c:pt>
                <c:pt idx="1">
                  <c:v>0</c:v>
                </c:pt>
                <c:pt idx="2">
                  <c:v>0</c:v>
                </c:pt>
              </c:numCache>
            </c:numRef>
          </c:val>
          <c:extLst>
            <c:ext xmlns:c16="http://schemas.microsoft.com/office/drawing/2014/chart" uri="{C3380CC4-5D6E-409C-BE32-E72D297353CC}">
              <c16:uniqueId val="{00000003-BAF8-4F11-8104-30304EF31D77}"/>
            </c:ext>
          </c:extLst>
        </c:ser>
        <c:ser>
          <c:idx val="4"/>
          <c:order val="4"/>
          <c:tx>
            <c:strRef>
              <c:f>Grafer!$B$114</c:f>
              <c:strCache>
                <c:ptCount val="1"/>
                <c:pt idx="0">
                  <c:v>Solenergi</c:v>
                </c:pt>
              </c:strCache>
            </c:strRef>
          </c:tx>
          <c:invertIfNegative val="0"/>
          <c:cat>
            <c:strRef>
              <c:f>Grafer!$C$101:$H$101</c:f>
              <c:strCache>
                <c:ptCount val="3"/>
                <c:pt idx="0">
                  <c:v>2018</c:v>
                </c:pt>
                <c:pt idx="1">
                  <c:v>BAU2030</c:v>
                </c:pt>
                <c:pt idx="2">
                  <c:v>BAU2050</c:v>
                </c:pt>
              </c:strCache>
            </c:strRef>
          </c:cat>
          <c:val>
            <c:numRef>
              <c:f>Grafer!$C$114:$H$114</c:f>
              <c:numCache>
                <c:formatCode>#,##0</c:formatCode>
                <c:ptCount val="6"/>
                <c:pt idx="0">
                  <c:v>19.05</c:v>
                </c:pt>
                <c:pt idx="1">
                  <c:v>19.0136</c:v>
                </c:pt>
                <c:pt idx="2">
                  <c:v>18.959</c:v>
                </c:pt>
              </c:numCache>
            </c:numRef>
          </c:val>
          <c:extLst>
            <c:ext xmlns:c16="http://schemas.microsoft.com/office/drawing/2014/chart" uri="{C3380CC4-5D6E-409C-BE32-E72D297353CC}">
              <c16:uniqueId val="{00000004-BAF8-4F11-8104-30304EF31D77}"/>
            </c:ext>
          </c:extLst>
        </c:ser>
        <c:ser>
          <c:idx val="5"/>
          <c:order val="5"/>
          <c:tx>
            <c:strRef>
              <c:f>Grafer!$B$115</c:f>
              <c:strCache>
                <c:ptCount val="1"/>
                <c:pt idx="0">
                  <c:v>Jordvarme, geotermi, vandkraft mm.</c:v>
                </c:pt>
              </c:strCache>
            </c:strRef>
          </c:tx>
          <c:invertIfNegative val="0"/>
          <c:cat>
            <c:strRef>
              <c:f>Grafer!$C$101:$H$101</c:f>
              <c:strCache>
                <c:ptCount val="3"/>
                <c:pt idx="0">
                  <c:v>2018</c:v>
                </c:pt>
                <c:pt idx="1">
                  <c:v>BAU2030</c:v>
                </c:pt>
                <c:pt idx="2">
                  <c:v>BAU2050</c:v>
                </c:pt>
              </c:strCache>
            </c:strRef>
          </c:cat>
          <c:val>
            <c:numRef>
              <c:f>Grafer!$C$115:$H$115</c:f>
              <c:numCache>
                <c:formatCode>#,##0</c:formatCode>
                <c:ptCount val="6"/>
                <c:pt idx="0">
                  <c:v>1.0999999999999999</c:v>
                </c:pt>
                <c:pt idx="1">
                  <c:v>8.0557999999999996</c:v>
                </c:pt>
                <c:pt idx="2">
                  <c:v>10.247</c:v>
                </c:pt>
              </c:numCache>
            </c:numRef>
          </c:val>
          <c:extLst>
            <c:ext xmlns:c16="http://schemas.microsoft.com/office/drawing/2014/chart" uri="{C3380CC4-5D6E-409C-BE32-E72D297353CC}">
              <c16:uniqueId val="{00000005-BAF8-4F11-8104-30304EF31D77}"/>
            </c:ext>
          </c:extLst>
        </c:ser>
        <c:ser>
          <c:idx val="6"/>
          <c:order val="6"/>
          <c:tx>
            <c:strRef>
              <c:f>Grafer!$B$116</c:f>
              <c:strCache>
                <c:ptCount val="1"/>
                <c:pt idx="0">
                  <c:v>Elimport (VE-baseret)</c:v>
                </c:pt>
              </c:strCache>
            </c:strRef>
          </c:tx>
          <c:invertIfNegative val="0"/>
          <c:cat>
            <c:strRef>
              <c:f>Grafer!$C$101:$H$101</c:f>
              <c:strCache>
                <c:ptCount val="3"/>
                <c:pt idx="0">
                  <c:v>2018</c:v>
                </c:pt>
                <c:pt idx="1">
                  <c:v>BAU2030</c:v>
                </c:pt>
                <c:pt idx="2">
                  <c:v>BAU2050</c:v>
                </c:pt>
              </c:strCache>
            </c:strRef>
          </c:cat>
          <c:val>
            <c:numRef>
              <c:f>Grafer!$C$116:$H$116</c:f>
              <c:numCache>
                <c:formatCode>#,##0</c:formatCode>
                <c:ptCount val="6"/>
                <c:pt idx="0">
                  <c:v>16.056524748720033</c:v>
                </c:pt>
                <c:pt idx="1">
                  <c:v>44.480998126055781</c:v>
                </c:pt>
                <c:pt idx="2">
                  <c:v>54.220481603592688</c:v>
                </c:pt>
              </c:numCache>
            </c:numRef>
          </c:val>
          <c:extLst>
            <c:ext xmlns:c16="http://schemas.microsoft.com/office/drawing/2014/chart" uri="{C3380CC4-5D6E-409C-BE32-E72D297353CC}">
              <c16:uniqueId val="{00000006-BAF8-4F11-8104-30304EF31D77}"/>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Grafer!$C$642</c:f>
              <c:strCache>
                <c:ptCount val="1"/>
                <c:pt idx="0">
                  <c:v>2018</c:v>
                </c:pt>
              </c:strCache>
            </c:strRef>
          </c:tx>
          <c:spPr>
            <a:solidFill>
              <a:schemeClr val="accent5"/>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Grafer!$C$643:$C$648</c:f>
              <c:numCache>
                <c:formatCode>#,##0</c:formatCode>
                <c:ptCount val="6"/>
                <c:pt idx="0">
                  <c:v>1.8314999999999999</c:v>
                </c:pt>
                <c:pt idx="1">
                  <c:v>3.6851999999999996E-2</c:v>
                </c:pt>
                <c:pt idx="2">
                  <c:v>5.6159000000000001E-2</c:v>
                </c:pt>
                <c:pt idx="3">
                  <c:v>6.5195312800000007</c:v>
                </c:pt>
                <c:pt idx="5">
                  <c:v>4.5293996632071147</c:v>
                </c:pt>
              </c:numCache>
            </c:numRef>
          </c:val>
          <c:extLst>
            <c:ext xmlns:c16="http://schemas.microsoft.com/office/drawing/2014/chart" uri="{C3380CC4-5D6E-409C-BE32-E72D297353CC}">
              <c16:uniqueId val="{00000000-FC28-4D62-AB19-FC196E61D636}"/>
            </c:ext>
          </c:extLst>
        </c:ser>
        <c:ser>
          <c:idx val="1"/>
          <c:order val="1"/>
          <c:tx>
            <c:strRef>
              <c:f>Grafer!$H$642</c:f>
              <c:strCache>
                <c:ptCount val="1"/>
              </c:strCache>
            </c:strRef>
          </c:tx>
          <c:spPr>
            <a:solidFill>
              <a:schemeClr val="accent4"/>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Grafer!$H$643:$H$648</c:f>
              <c:numCache>
                <c:formatCode>#,##0</c:formatCode>
                <c:ptCount val="6"/>
              </c:numCache>
            </c:numRef>
          </c:val>
          <c:extLst>
            <c:ext xmlns:c16="http://schemas.microsoft.com/office/drawing/2014/chart" uri="{C3380CC4-5D6E-409C-BE32-E72D297353CC}">
              <c16:uniqueId val="{00000001-FC28-4D62-AB19-FC196E61D636}"/>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6777637085187"/>
          <c:y val="4.8758435897136708E-2"/>
          <c:w val="0.55357579485996056"/>
          <c:h val="0.88874159115313645"/>
        </c:manualLayout>
      </c:layout>
      <c:pieChart>
        <c:varyColors val="1"/>
        <c:ser>
          <c:idx val="0"/>
          <c:order val="0"/>
          <c:tx>
            <c:strRef>
              <c:f>Grafer!$B$746</c:f>
              <c:strCache>
                <c:ptCount val="1"/>
                <c:pt idx="0">
                  <c:v>I alt</c:v>
                </c:pt>
              </c:strCache>
            </c:strRef>
          </c:tx>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Grafer!$C$746:$K$746</c:f>
              <c:numCache>
                <c:formatCode>#,##0</c:formatCode>
                <c:ptCount val="9"/>
                <c:pt idx="0">
                  <c:v>103.32919023101354</c:v>
                </c:pt>
                <c:pt idx="1">
                  <c:v>6.1932517850154802</c:v>
                </c:pt>
                <c:pt idx="2">
                  <c:v>6.9795018148194021</c:v>
                </c:pt>
                <c:pt idx="3">
                  <c:v>8.3938895380804972</c:v>
                </c:pt>
                <c:pt idx="4">
                  <c:v>3.56E-2</c:v>
                </c:pt>
                <c:pt idx="5">
                  <c:v>11.00537696</c:v>
                </c:pt>
                <c:pt idx="6">
                  <c:v>0.31273919999999994</c:v>
                </c:pt>
                <c:pt idx="7">
                  <c:v>14.621711764705882</c:v>
                </c:pt>
                <c:pt idx="8">
                  <c:v>85.954625999306501</c:v>
                </c:pt>
              </c:numCache>
            </c:numRef>
          </c:val>
          <c:extLst>
            <c:ext xmlns:c16="http://schemas.microsoft.com/office/drawing/2014/chart" uri="{C3380CC4-5D6E-409C-BE32-E72D297353CC}">
              <c16:uniqueId val="{00000000-2245-4188-8173-F7B824F03162}"/>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3958333333341"/>
          <c:y val="6.5707070707070714E-2"/>
          <c:w val="0.48125000000000007"/>
          <c:h val="0.87500000000000289"/>
        </c:manualLayout>
      </c:layout>
      <c:pieChart>
        <c:varyColors val="1"/>
        <c:ser>
          <c:idx val="0"/>
          <c:order val="0"/>
          <c:tx>
            <c:strRef>
              <c:f>Grafer!$L$731</c:f>
              <c:strCache>
                <c:ptCount val="1"/>
                <c:pt idx="0">
                  <c:v>I alt</c:v>
                </c:pt>
              </c:strCache>
            </c:strRef>
          </c:tx>
          <c:dPt>
            <c:idx val="0"/>
            <c:bubble3D val="0"/>
            <c:spPr>
              <a:solidFill>
                <a:srgbClr val="9E413E"/>
              </a:solidFill>
            </c:spPr>
            <c:extLst>
              <c:ext xmlns:c16="http://schemas.microsoft.com/office/drawing/2014/chart" uri="{C3380CC4-5D6E-409C-BE32-E72D297353CC}">
                <c16:uniqueId val="{00000001-C62A-4950-9AEE-9F0F633FEBA7}"/>
              </c:ext>
            </c:extLst>
          </c:dPt>
          <c:dPt>
            <c:idx val="1"/>
            <c:bubble3D val="0"/>
            <c:spPr>
              <a:solidFill>
                <a:srgbClr val="7F9A48"/>
              </a:solidFill>
            </c:spPr>
            <c:extLst>
              <c:ext xmlns:c16="http://schemas.microsoft.com/office/drawing/2014/chart" uri="{C3380CC4-5D6E-409C-BE32-E72D297353CC}">
                <c16:uniqueId val="{00000003-C62A-4950-9AEE-9F0F633FEBA7}"/>
              </c:ext>
            </c:extLst>
          </c:dPt>
          <c:dPt>
            <c:idx val="2"/>
            <c:bubble3D val="0"/>
            <c:spPr>
              <a:solidFill>
                <a:srgbClr val="695185"/>
              </a:solidFill>
            </c:spPr>
            <c:extLst>
              <c:ext xmlns:c16="http://schemas.microsoft.com/office/drawing/2014/chart" uri="{C3380CC4-5D6E-409C-BE32-E72D297353CC}">
                <c16:uniqueId val="{00000005-C62A-4950-9AEE-9F0F633FEBA7}"/>
              </c:ext>
            </c:extLst>
          </c:dPt>
          <c:dPt>
            <c:idx val="3"/>
            <c:bubble3D val="0"/>
            <c:spPr>
              <a:solidFill>
                <a:srgbClr val="3C8DA3"/>
              </a:solidFill>
            </c:spPr>
            <c:extLst>
              <c:ext xmlns:c16="http://schemas.microsoft.com/office/drawing/2014/chart" uri="{C3380CC4-5D6E-409C-BE32-E72D297353CC}">
                <c16:uniqueId val="{00000007-C62A-4950-9AEE-9F0F633FEBA7}"/>
              </c:ext>
            </c:extLst>
          </c:dPt>
          <c:dPt>
            <c:idx val="4"/>
            <c:bubble3D val="0"/>
            <c:spPr>
              <a:solidFill>
                <a:srgbClr val="CC7B38"/>
              </a:solidFill>
            </c:spPr>
            <c:extLst>
              <c:ext xmlns:c16="http://schemas.microsoft.com/office/drawing/2014/chart" uri="{C3380CC4-5D6E-409C-BE32-E72D297353CC}">
                <c16:uniqueId val="{00000009-C62A-4950-9AEE-9F0F633FEBA7}"/>
              </c:ext>
            </c:extLst>
          </c:dPt>
          <c:dPt>
            <c:idx val="5"/>
            <c:bubble3D val="0"/>
            <c:spPr>
              <a:solidFill>
                <a:srgbClr val="4F81BD"/>
              </a:solidFill>
            </c:spPr>
            <c:extLst>
              <c:ext xmlns:c16="http://schemas.microsoft.com/office/drawing/2014/chart" uri="{C3380CC4-5D6E-409C-BE32-E72D297353CC}">
                <c16:uniqueId val="{0000000B-C62A-4950-9AEE-9F0F633FEBA7}"/>
              </c:ext>
            </c:extLst>
          </c:dPt>
          <c:dPt>
            <c:idx val="6"/>
            <c:bubble3D val="0"/>
            <c:spPr>
              <a:solidFill>
                <a:srgbClr val="D9AAA9"/>
              </a:solidFill>
            </c:spPr>
            <c:extLst>
              <c:ext xmlns:c16="http://schemas.microsoft.com/office/drawing/2014/chart" uri="{C3380CC4-5D6E-409C-BE32-E72D297353CC}">
                <c16:uniqueId val="{0000000D-C62A-4950-9AEE-9F0F633FEBA7}"/>
              </c:ext>
            </c:extLst>
          </c:dPt>
          <c:dPt>
            <c:idx val="7"/>
            <c:bubble3D val="0"/>
            <c:spPr>
              <a:solidFill>
                <a:srgbClr val="C0504D"/>
              </a:solidFill>
            </c:spPr>
            <c:extLst>
              <c:ext xmlns:c16="http://schemas.microsoft.com/office/drawing/2014/chart" uri="{C3380CC4-5D6E-409C-BE32-E72D297353CC}">
                <c16:uniqueId val="{0000000F-C62A-4950-9AEE-9F0F633FEBA7}"/>
              </c:ext>
            </c:extLst>
          </c:dPt>
          <c:dPt>
            <c:idx val="8"/>
            <c:bubble3D val="0"/>
            <c:spPr>
              <a:solidFill>
                <a:srgbClr val="9BBB59"/>
              </a:solidFill>
            </c:spPr>
            <c:extLst>
              <c:ext xmlns:c16="http://schemas.microsoft.com/office/drawing/2014/chart" uri="{C3380CC4-5D6E-409C-BE32-E72D297353CC}">
                <c16:uniqueId val="{00000011-C62A-4950-9AEE-9F0F633FEBA7}"/>
              </c:ext>
            </c:extLst>
          </c:dPt>
          <c:dPt>
            <c:idx val="9"/>
            <c:bubble3D val="0"/>
            <c:spPr>
              <a:solidFill>
                <a:srgbClr val="8064A2"/>
              </a:solidFill>
            </c:spPr>
            <c:extLst>
              <c:ext xmlns:c16="http://schemas.microsoft.com/office/drawing/2014/chart" uri="{C3380CC4-5D6E-409C-BE32-E72D297353CC}">
                <c16:uniqueId val="{00000013-C62A-4950-9AEE-9F0F633FEBA7}"/>
              </c:ext>
            </c:extLst>
          </c:dPt>
          <c:dPt>
            <c:idx val="11"/>
            <c:bubble3D val="0"/>
            <c:spPr>
              <a:solidFill>
                <a:schemeClr val="accent5">
                  <a:lumMod val="40000"/>
                  <a:lumOff val="60000"/>
                </a:schemeClr>
              </a:solidFill>
            </c:spPr>
            <c:extLst>
              <c:ext xmlns:c16="http://schemas.microsoft.com/office/drawing/2014/chart" uri="{C3380CC4-5D6E-409C-BE32-E72D297353CC}">
                <c16:uniqueId val="{00000015-C62A-4950-9AEE-9F0F633FEBA7}"/>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Grafer!$B$732:$B$745</c:f>
              <c:strCache>
                <c:ptCount val="14"/>
                <c:pt idx="0">
                  <c:v>El</c:v>
                </c:pt>
                <c:pt idx="1">
                  <c:v>Kul</c:v>
                </c:pt>
                <c:pt idx="2">
                  <c:v>Naturgas og LPG</c:v>
                </c:pt>
                <c:pt idx="3">
                  <c:v>Fuelolie</c:v>
                </c:pt>
                <c:pt idx="4">
                  <c:v>Brændselsolie/diesel</c:v>
                </c:pt>
                <c:pt idx="5">
                  <c:v>Benzin</c:v>
                </c:pt>
                <c:pt idx="6">
                  <c:v>JP1</c:v>
                </c:pt>
                <c:pt idx="7">
                  <c:v>Affald, ikke bionedbrydeligt</c:v>
                </c:pt>
                <c:pt idx="8">
                  <c:v>Biobrændstof</c:v>
                </c:pt>
                <c:pt idx="9">
                  <c:v>Biomasse</c:v>
                </c:pt>
                <c:pt idx="10">
                  <c:v>Fjernvarme</c:v>
                </c:pt>
                <c:pt idx="11">
                  <c:v>Procesvarme fra KV-produktion</c:v>
                </c:pt>
                <c:pt idx="12">
                  <c:v>Biogas</c:v>
                </c:pt>
                <c:pt idx="13">
                  <c:v>Solenergi og jordvarme</c:v>
                </c:pt>
              </c:strCache>
            </c:strRef>
          </c:cat>
          <c:val>
            <c:numRef>
              <c:f>Grafer!$L$732:$L$745</c:f>
              <c:numCache>
                <c:formatCode>#,##0</c:formatCode>
                <c:ptCount val="14"/>
                <c:pt idx="0">
                  <c:v>60.812776300941302</c:v>
                </c:pt>
                <c:pt idx="1">
                  <c:v>0</c:v>
                </c:pt>
                <c:pt idx="2">
                  <c:v>0.89</c:v>
                </c:pt>
                <c:pt idx="3">
                  <c:v>3.2597399999999998E-4</c:v>
                </c:pt>
                <c:pt idx="4">
                  <c:v>59.317445647000007</c:v>
                </c:pt>
                <c:pt idx="5">
                  <c:v>16.864876500000001</c:v>
                </c:pt>
                <c:pt idx="6">
                  <c:v>16.310466000000002</c:v>
                </c:pt>
                <c:pt idx="7">
                  <c:v>0</c:v>
                </c:pt>
                <c:pt idx="8">
                  <c:v>3.7886675909999994</c:v>
                </c:pt>
                <c:pt idx="9">
                  <c:v>49.388799999999996</c:v>
                </c:pt>
                <c:pt idx="10">
                  <c:v>20.870129279999997</c:v>
                </c:pt>
                <c:pt idx="11">
                  <c:v>0</c:v>
                </c:pt>
                <c:pt idx="12">
                  <c:v>0</c:v>
                </c:pt>
                <c:pt idx="13">
                  <c:v>8.5823999999999998</c:v>
                </c:pt>
              </c:numCache>
            </c:numRef>
          </c:val>
          <c:extLst>
            <c:ext xmlns:c16="http://schemas.microsoft.com/office/drawing/2014/chart" uri="{C3380CC4-5D6E-409C-BE32-E72D297353CC}">
              <c16:uniqueId val="{00000016-C62A-4950-9AEE-9F0F633FEBA7}"/>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Grafer!$C$911</c:f>
              <c:strCache>
                <c:ptCount val="1"/>
                <c:pt idx="0">
                  <c:v>2018</c:v>
                </c:pt>
              </c:strCache>
            </c:strRef>
          </c:tx>
          <c:spPr>
            <a:solidFill>
              <a:srgbClr val="4BACC6"/>
            </a:solidFill>
          </c:spPr>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Grafer!$C$912:$C$920</c:f>
              <c:numCache>
                <c:formatCode>#,##0</c:formatCode>
                <c:ptCount val="9"/>
                <c:pt idx="0">
                  <c:v>16.304788500000004</c:v>
                </c:pt>
                <c:pt idx="1">
                  <c:v>0</c:v>
                </c:pt>
                <c:pt idx="2">
                  <c:v>19.8</c:v>
                </c:pt>
                <c:pt idx="3">
                  <c:v>4.2750000000000004</c:v>
                </c:pt>
                <c:pt idx="4">
                  <c:v>19.168499999999998</c:v>
                </c:pt>
                <c:pt idx="5">
                  <c:v>0.79299999999999993</c:v>
                </c:pt>
                <c:pt idx="6">
                  <c:v>5.8822222222222216</c:v>
                </c:pt>
                <c:pt idx="7">
                  <c:v>1.65</c:v>
                </c:pt>
                <c:pt idx="8">
                  <c:v>0.91</c:v>
                </c:pt>
              </c:numCache>
            </c:numRef>
          </c:val>
          <c:extLst>
            <c:ext xmlns:c16="http://schemas.microsoft.com/office/drawing/2014/chart" uri="{C3380CC4-5D6E-409C-BE32-E72D297353CC}">
              <c16:uniqueId val="{00000000-AE2B-49B9-AFC9-A5EB51D040D6}"/>
            </c:ext>
          </c:extLst>
        </c:ser>
        <c:ser>
          <c:idx val="3"/>
          <c:order val="1"/>
          <c:tx>
            <c:strRef>
              <c:f>Grafer!$H$911</c:f>
              <c:strCache>
                <c:ptCount val="1"/>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Grafer!$H$912:$H$920</c:f>
              <c:numCache>
                <c:formatCode>#,##0</c:formatCode>
                <c:ptCount val="9"/>
              </c:numCache>
            </c:numRef>
          </c:val>
          <c:extLst>
            <c:ext xmlns:c16="http://schemas.microsoft.com/office/drawing/2014/chart" uri="{C3380CC4-5D6E-409C-BE32-E72D297353CC}">
              <c16:uniqueId val="{00000001-AE2B-49B9-AFC9-A5EB51D040D6}"/>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da-DK"/>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Grafer!$B$912</c:f>
              <c:strCache>
                <c:ptCount val="1"/>
                <c:pt idx="0">
                  <c:v>Fjernvarme</c:v>
                </c:pt>
              </c:strCache>
            </c:strRef>
          </c:tx>
          <c:spPr>
            <a:solidFill>
              <a:srgbClr val="4BACC6"/>
            </a:solidFill>
          </c:spPr>
          <c:invertIfNegative val="0"/>
          <c:cat>
            <c:strRef>
              <c:f>Grafer!$C$911:$H$911</c:f>
              <c:strCache>
                <c:ptCount val="3"/>
                <c:pt idx="0">
                  <c:v>2018</c:v>
                </c:pt>
                <c:pt idx="1">
                  <c:v>BAU2030</c:v>
                </c:pt>
                <c:pt idx="2">
                  <c:v>BAU2050</c:v>
                </c:pt>
              </c:strCache>
            </c:strRef>
          </c:cat>
          <c:val>
            <c:numRef>
              <c:f>Grafer!$C$912:$H$912</c:f>
              <c:numCache>
                <c:formatCode>#,##0</c:formatCode>
                <c:ptCount val="6"/>
                <c:pt idx="0">
                  <c:v>16.304788500000004</c:v>
                </c:pt>
                <c:pt idx="1">
                  <c:v>15.652596959999999</c:v>
                </c:pt>
                <c:pt idx="2">
                  <c:v>14.674309650000001</c:v>
                </c:pt>
              </c:numCache>
            </c:numRef>
          </c:val>
          <c:extLst>
            <c:ext xmlns:c16="http://schemas.microsoft.com/office/drawing/2014/chart" uri="{C3380CC4-5D6E-409C-BE32-E72D297353CC}">
              <c16:uniqueId val="{00000000-5854-4303-9E67-467C6DAC7817}"/>
            </c:ext>
          </c:extLst>
        </c:ser>
        <c:ser>
          <c:idx val="1"/>
          <c:order val="1"/>
          <c:tx>
            <c:strRef>
              <c:f>Grafer!$B$913</c:f>
              <c:strCache>
                <c:ptCount val="1"/>
                <c:pt idx="0">
                  <c:v>Naturgasfyr</c:v>
                </c:pt>
              </c:strCache>
            </c:strRef>
          </c:tx>
          <c:spPr>
            <a:solidFill>
              <a:srgbClr val="695185"/>
            </a:solidFill>
          </c:spPr>
          <c:invertIfNegative val="0"/>
          <c:cat>
            <c:strRef>
              <c:f>Grafer!$C$911:$H$911</c:f>
              <c:strCache>
                <c:ptCount val="3"/>
                <c:pt idx="0">
                  <c:v>2018</c:v>
                </c:pt>
                <c:pt idx="1">
                  <c:v>BAU2030</c:v>
                </c:pt>
                <c:pt idx="2">
                  <c:v>BAU2050</c:v>
                </c:pt>
              </c:strCache>
            </c:strRef>
          </c:cat>
          <c:val>
            <c:numRef>
              <c:f>Grafer!$C$913:$H$913</c:f>
              <c:numCache>
                <c:formatCode>#,##0</c:formatCode>
                <c:ptCount val="6"/>
                <c:pt idx="0">
                  <c:v>0</c:v>
                </c:pt>
                <c:pt idx="1">
                  <c:v>0</c:v>
                </c:pt>
                <c:pt idx="2">
                  <c:v>0</c:v>
                </c:pt>
              </c:numCache>
            </c:numRef>
          </c:val>
          <c:extLst>
            <c:ext xmlns:c16="http://schemas.microsoft.com/office/drawing/2014/chart" uri="{C3380CC4-5D6E-409C-BE32-E72D297353CC}">
              <c16:uniqueId val="{00000001-5854-4303-9E67-467C6DAC7817}"/>
            </c:ext>
          </c:extLst>
        </c:ser>
        <c:ser>
          <c:idx val="2"/>
          <c:order val="2"/>
          <c:tx>
            <c:strRef>
              <c:f>Grafer!$B$914</c:f>
              <c:strCache>
                <c:ptCount val="1"/>
                <c:pt idx="0">
                  <c:v>Oliefyr</c:v>
                </c:pt>
              </c:strCache>
            </c:strRef>
          </c:tx>
          <c:spPr>
            <a:solidFill>
              <a:srgbClr val="CC7B38"/>
            </a:solidFill>
          </c:spPr>
          <c:invertIfNegative val="0"/>
          <c:cat>
            <c:strRef>
              <c:f>Grafer!$C$911:$H$911</c:f>
              <c:strCache>
                <c:ptCount val="3"/>
                <c:pt idx="0">
                  <c:v>2018</c:v>
                </c:pt>
                <c:pt idx="1">
                  <c:v>BAU2030</c:v>
                </c:pt>
                <c:pt idx="2">
                  <c:v>BAU2050</c:v>
                </c:pt>
              </c:strCache>
            </c:strRef>
          </c:cat>
          <c:val>
            <c:numRef>
              <c:f>Grafer!$C$914:$H$914</c:f>
              <c:numCache>
                <c:formatCode>#,##0</c:formatCode>
                <c:ptCount val="6"/>
                <c:pt idx="0">
                  <c:v>19.8</c:v>
                </c:pt>
                <c:pt idx="1">
                  <c:v>5.702399999999999</c:v>
                </c:pt>
                <c:pt idx="2">
                  <c:v>0</c:v>
                </c:pt>
              </c:numCache>
            </c:numRef>
          </c:val>
          <c:extLst>
            <c:ext xmlns:c16="http://schemas.microsoft.com/office/drawing/2014/chart" uri="{C3380CC4-5D6E-409C-BE32-E72D297353CC}">
              <c16:uniqueId val="{00000002-5854-4303-9E67-467C6DAC7817}"/>
            </c:ext>
          </c:extLst>
        </c:ser>
        <c:ser>
          <c:idx val="3"/>
          <c:order val="3"/>
          <c:tx>
            <c:strRef>
              <c:f>Grafer!$B$915</c:f>
              <c:strCache>
                <c:ptCount val="1"/>
                <c:pt idx="0">
                  <c:v>Træpille- og stokerfyr</c:v>
                </c:pt>
              </c:strCache>
            </c:strRef>
          </c:tx>
          <c:spPr>
            <a:solidFill>
              <a:srgbClr val="9BBB59"/>
            </a:solidFill>
          </c:spPr>
          <c:invertIfNegative val="0"/>
          <c:cat>
            <c:strRef>
              <c:f>Grafer!$C$911:$H$911</c:f>
              <c:strCache>
                <c:ptCount val="3"/>
                <c:pt idx="0">
                  <c:v>2018</c:v>
                </c:pt>
                <c:pt idx="1">
                  <c:v>BAU2030</c:v>
                </c:pt>
                <c:pt idx="2">
                  <c:v>BAU2050</c:v>
                </c:pt>
              </c:strCache>
            </c:strRef>
          </c:cat>
          <c:val>
            <c:numRef>
              <c:f>Grafer!$C$915:$H$915</c:f>
              <c:numCache>
                <c:formatCode>#,##0</c:formatCode>
                <c:ptCount val="6"/>
                <c:pt idx="0">
                  <c:v>4.2750000000000004</c:v>
                </c:pt>
                <c:pt idx="1">
                  <c:v>7.4303999999999997</c:v>
                </c:pt>
                <c:pt idx="2">
                  <c:v>8.3025000000000002</c:v>
                </c:pt>
              </c:numCache>
            </c:numRef>
          </c:val>
          <c:extLst>
            <c:ext xmlns:c16="http://schemas.microsoft.com/office/drawing/2014/chart" uri="{C3380CC4-5D6E-409C-BE32-E72D297353CC}">
              <c16:uniqueId val="{00000003-5854-4303-9E67-467C6DAC7817}"/>
            </c:ext>
          </c:extLst>
        </c:ser>
        <c:ser>
          <c:idx val="4"/>
          <c:order val="4"/>
          <c:tx>
            <c:strRef>
              <c:f>Grafer!$B$916</c:f>
              <c:strCache>
                <c:ptCount val="1"/>
                <c:pt idx="0">
                  <c:v>Brændekedel og -ovn</c:v>
                </c:pt>
              </c:strCache>
            </c:strRef>
          </c:tx>
          <c:spPr>
            <a:solidFill>
              <a:srgbClr val="C6D6AC"/>
            </a:solidFill>
          </c:spPr>
          <c:invertIfNegative val="0"/>
          <c:cat>
            <c:strRef>
              <c:f>Grafer!$C$911:$H$911</c:f>
              <c:strCache>
                <c:ptCount val="3"/>
                <c:pt idx="0">
                  <c:v>2018</c:v>
                </c:pt>
                <c:pt idx="1">
                  <c:v>BAU2030</c:v>
                </c:pt>
                <c:pt idx="2">
                  <c:v>BAU2050</c:v>
                </c:pt>
              </c:strCache>
            </c:strRef>
          </c:cat>
          <c:val>
            <c:numRef>
              <c:f>Grafer!$C$916:$H$916</c:f>
              <c:numCache>
                <c:formatCode>#,##0</c:formatCode>
                <c:ptCount val="6"/>
                <c:pt idx="0">
                  <c:v>19.168499999999998</c:v>
                </c:pt>
                <c:pt idx="1">
                  <c:v>18.401759999999999</c:v>
                </c:pt>
                <c:pt idx="2">
                  <c:v>17.251649999999998</c:v>
                </c:pt>
              </c:numCache>
            </c:numRef>
          </c:val>
          <c:extLst>
            <c:ext xmlns:c16="http://schemas.microsoft.com/office/drawing/2014/chart" uri="{C3380CC4-5D6E-409C-BE32-E72D297353CC}">
              <c16:uniqueId val="{00000004-5854-4303-9E67-467C6DAC7817}"/>
            </c:ext>
          </c:extLst>
        </c:ser>
        <c:ser>
          <c:idx val="5"/>
          <c:order val="5"/>
          <c:tx>
            <c:strRef>
              <c:f>Grafer!$B$917</c:f>
              <c:strCache>
                <c:ptCount val="1"/>
                <c:pt idx="0">
                  <c:v>Halmfyr</c:v>
                </c:pt>
              </c:strCache>
            </c:strRef>
          </c:tx>
          <c:spPr>
            <a:solidFill>
              <a:srgbClr val="8064A2"/>
            </a:solidFill>
          </c:spPr>
          <c:invertIfNegative val="0"/>
          <c:cat>
            <c:strRef>
              <c:f>Grafer!$C$911:$H$911</c:f>
              <c:strCache>
                <c:ptCount val="3"/>
                <c:pt idx="0">
                  <c:v>2018</c:v>
                </c:pt>
                <c:pt idx="1">
                  <c:v>BAU2030</c:v>
                </c:pt>
                <c:pt idx="2">
                  <c:v>BAU2050</c:v>
                </c:pt>
              </c:strCache>
            </c:strRef>
          </c:cat>
          <c:val>
            <c:numRef>
              <c:f>Grafer!$C$917:$H$917</c:f>
              <c:numCache>
                <c:formatCode>#,##0</c:formatCode>
                <c:ptCount val="6"/>
                <c:pt idx="0">
                  <c:v>0.79299999999999993</c:v>
                </c:pt>
                <c:pt idx="1">
                  <c:v>0.76127999999999996</c:v>
                </c:pt>
                <c:pt idx="2">
                  <c:v>0.7137</c:v>
                </c:pt>
              </c:numCache>
            </c:numRef>
          </c:val>
          <c:extLst>
            <c:ext xmlns:c16="http://schemas.microsoft.com/office/drawing/2014/chart" uri="{C3380CC4-5D6E-409C-BE32-E72D297353CC}">
              <c16:uniqueId val="{00000005-5854-4303-9E67-467C6DAC7817}"/>
            </c:ext>
          </c:extLst>
        </c:ser>
        <c:ser>
          <c:idx val="6"/>
          <c:order val="6"/>
          <c:tx>
            <c:strRef>
              <c:f>Grafer!$B$918</c:f>
              <c:strCache>
                <c:ptCount val="1"/>
                <c:pt idx="0">
                  <c:v>Elvarme</c:v>
                </c:pt>
              </c:strCache>
            </c:strRef>
          </c:tx>
          <c:spPr>
            <a:solidFill>
              <a:srgbClr val="9E413E"/>
            </a:solidFill>
          </c:spPr>
          <c:invertIfNegative val="0"/>
          <c:cat>
            <c:strRef>
              <c:f>Grafer!$C$911:$H$911</c:f>
              <c:strCache>
                <c:ptCount val="3"/>
                <c:pt idx="0">
                  <c:v>2018</c:v>
                </c:pt>
                <c:pt idx="1">
                  <c:v>BAU2030</c:v>
                </c:pt>
                <c:pt idx="2">
                  <c:v>BAU2050</c:v>
                </c:pt>
              </c:strCache>
            </c:strRef>
          </c:cat>
          <c:val>
            <c:numRef>
              <c:f>Grafer!$C$918:$H$918</c:f>
              <c:numCache>
                <c:formatCode>#,##0</c:formatCode>
                <c:ptCount val="6"/>
                <c:pt idx="0">
                  <c:v>5.8822222222222216</c:v>
                </c:pt>
                <c:pt idx="1">
                  <c:v>5.6918222222222212</c:v>
                </c:pt>
                <c:pt idx="2">
                  <c:v>5.4062222222222225</c:v>
                </c:pt>
              </c:numCache>
            </c:numRef>
          </c:val>
          <c:extLst>
            <c:ext xmlns:c16="http://schemas.microsoft.com/office/drawing/2014/chart" uri="{C3380CC4-5D6E-409C-BE32-E72D297353CC}">
              <c16:uniqueId val="{00000006-5854-4303-9E67-467C6DAC7817}"/>
            </c:ext>
          </c:extLst>
        </c:ser>
        <c:ser>
          <c:idx val="7"/>
          <c:order val="7"/>
          <c:tx>
            <c:strRef>
              <c:f>Grafer!$B$919</c:f>
              <c:strCache>
                <c:ptCount val="1"/>
                <c:pt idx="0">
                  <c:v>Individuelle varmepumper</c:v>
                </c:pt>
              </c:strCache>
            </c:strRef>
          </c:tx>
          <c:spPr>
            <a:solidFill>
              <a:srgbClr val="AABAD7"/>
            </a:solidFill>
          </c:spPr>
          <c:invertIfNegative val="0"/>
          <c:cat>
            <c:strRef>
              <c:f>Grafer!$C$911:$H$911</c:f>
              <c:strCache>
                <c:ptCount val="3"/>
                <c:pt idx="0">
                  <c:v>2018</c:v>
                </c:pt>
                <c:pt idx="1">
                  <c:v>BAU2030</c:v>
                </c:pt>
                <c:pt idx="2">
                  <c:v>BAU2050</c:v>
                </c:pt>
              </c:strCache>
            </c:strRef>
          </c:cat>
          <c:val>
            <c:numRef>
              <c:f>Grafer!$C$919:$H$919</c:f>
              <c:numCache>
                <c:formatCode>#,##0</c:formatCode>
                <c:ptCount val="6"/>
                <c:pt idx="0">
                  <c:v>1.65</c:v>
                </c:pt>
                <c:pt idx="1">
                  <c:v>11.5632</c:v>
                </c:pt>
                <c:pt idx="2">
                  <c:v>14.850000000000001</c:v>
                </c:pt>
              </c:numCache>
            </c:numRef>
          </c:val>
          <c:extLst>
            <c:ext xmlns:c16="http://schemas.microsoft.com/office/drawing/2014/chart" uri="{C3380CC4-5D6E-409C-BE32-E72D297353CC}">
              <c16:uniqueId val="{00000007-5854-4303-9E67-467C6DAC7817}"/>
            </c:ext>
          </c:extLst>
        </c:ser>
        <c:ser>
          <c:idx val="8"/>
          <c:order val="8"/>
          <c:tx>
            <c:strRef>
              <c:f>Grafer!$B$920</c:f>
              <c:strCache>
                <c:ptCount val="1"/>
                <c:pt idx="0">
                  <c:v>Individuel solvarme</c:v>
                </c:pt>
              </c:strCache>
            </c:strRef>
          </c:tx>
          <c:spPr>
            <a:solidFill>
              <a:srgbClr val="F79646"/>
            </a:solidFill>
          </c:spPr>
          <c:invertIfNegative val="0"/>
          <c:cat>
            <c:strRef>
              <c:f>Grafer!$C$911:$H$911</c:f>
              <c:strCache>
                <c:ptCount val="3"/>
                <c:pt idx="0">
                  <c:v>2018</c:v>
                </c:pt>
                <c:pt idx="1">
                  <c:v>BAU2030</c:v>
                </c:pt>
                <c:pt idx="2">
                  <c:v>BAU2050</c:v>
                </c:pt>
              </c:strCache>
            </c:strRef>
          </c:cat>
          <c:val>
            <c:numRef>
              <c:f>Grafer!$C$920:$H$920</c:f>
              <c:numCache>
                <c:formatCode>#,##0</c:formatCode>
                <c:ptCount val="6"/>
                <c:pt idx="0">
                  <c:v>0.91</c:v>
                </c:pt>
                <c:pt idx="1">
                  <c:v>0.87360000000000004</c:v>
                </c:pt>
                <c:pt idx="2">
                  <c:v>0.81900000000000006</c:v>
                </c:pt>
              </c:numCache>
            </c:numRef>
          </c:val>
          <c:extLst>
            <c:ext xmlns:c16="http://schemas.microsoft.com/office/drawing/2014/chart" uri="{C3380CC4-5D6E-409C-BE32-E72D297353CC}">
              <c16:uniqueId val="{00000008-5854-4303-9E67-467C6DAC7817}"/>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Grafer!$H$911</c:f>
              <c:strCache>
                <c:ptCount val="1"/>
              </c:strCache>
            </c:strRef>
          </c:tx>
          <c:dPt>
            <c:idx val="0"/>
            <c:bubble3D val="0"/>
            <c:spPr>
              <a:solidFill>
                <a:srgbClr val="4BACC6"/>
              </a:solidFill>
            </c:spPr>
            <c:extLst>
              <c:ext xmlns:c16="http://schemas.microsoft.com/office/drawing/2014/chart" uri="{C3380CC4-5D6E-409C-BE32-E72D297353CC}">
                <c16:uniqueId val="{00000001-A8E2-49BF-AD7F-0775CEEC27A4}"/>
              </c:ext>
            </c:extLst>
          </c:dPt>
          <c:dPt>
            <c:idx val="1"/>
            <c:bubble3D val="0"/>
            <c:spPr>
              <a:solidFill>
                <a:srgbClr val="695185"/>
              </a:solidFill>
            </c:spPr>
            <c:extLst>
              <c:ext xmlns:c16="http://schemas.microsoft.com/office/drawing/2014/chart" uri="{C3380CC4-5D6E-409C-BE32-E72D297353CC}">
                <c16:uniqueId val="{00000003-A8E2-49BF-AD7F-0775CEEC27A4}"/>
              </c:ext>
            </c:extLst>
          </c:dPt>
          <c:dPt>
            <c:idx val="2"/>
            <c:bubble3D val="0"/>
            <c:spPr>
              <a:solidFill>
                <a:srgbClr val="CC7B38"/>
              </a:solidFill>
            </c:spPr>
            <c:extLst>
              <c:ext xmlns:c16="http://schemas.microsoft.com/office/drawing/2014/chart" uri="{C3380CC4-5D6E-409C-BE32-E72D297353CC}">
                <c16:uniqueId val="{00000005-A8E2-49BF-AD7F-0775CEEC27A4}"/>
              </c:ext>
            </c:extLst>
          </c:dPt>
          <c:dPt>
            <c:idx val="3"/>
            <c:bubble3D val="0"/>
            <c:spPr>
              <a:solidFill>
                <a:srgbClr val="9BBB59"/>
              </a:solidFill>
            </c:spPr>
            <c:extLst>
              <c:ext xmlns:c16="http://schemas.microsoft.com/office/drawing/2014/chart" uri="{C3380CC4-5D6E-409C-BE32-E72D297353CC}">
                <c16:uniqueId val="{00000007-A8E2-49BF-AD7F-0775CEEC27A4}"/>
              </c:ext>
            </c:extLst>
          </c:dPt>
          <c:dPt>
            <c:idx val="4"/>
            <c:bubble3D val="0"/>
            <c:spPr>
              <a:solidFill>
                <a:srgbClr val="C6D6AC"/>
              </a:solidFill>
            </c:spPr>
            <c:extLst>
              <c:ext xmlns:c16="http://schemas.microsoft.com/office/drawing/2014/chart" uri="{C3380CC4-5D6E-409C-BE32-E72D297353CC}">
                <c16:uniqueId val="{00000009-A8E2-49BF-AD7F-0775CEEC27A4}"/>
              </c:ext>
            </c:extLst>
          </c:dPt>
          <c:dPt>
            <c:idx val="5"/>
            <c:bubble3D val="0"/>
            <c:spPr>
              <a:solidFill>
                <a:srgbClr val="8064A2"/>
              </a:solidFill>
            </c:spPr>
            <c:extLst>
              <c:ext xmlns:c16="http://schemas.microsoft.com/office/drawing/2014/chart" uri="{C3380CC4-5D6E-409C-BE32-E72D297353CC}">
                <c16:uniqueId val="{0000000B-A8E2-49BF-AD7F-0775CEEC27A4}"/>
              </c:ext>
            </c:extLst>
          </c:dPt>
          <c:dPt>
            <c:idx val="6"/>
            <c:bubble3D val="0"/>
            <c:spPr>
              <a:solidFill>
                <a:srgbClr val="9E413E"/>
              </a:solidFill>
            </c:spPr>
            <c:extLst>
              <c:ext xmlns:c16="http://schemas.microsoft.com/office/drawing/2014/chart" uri="{C3380CC4-5D6E-409C-BE32-E72D297353CC}">
                <c16:uniqueId val="{0000000D-A8E2-49BF-AD7F-0775CEEC27A4}"/>
              </c:ext>
            </c:extLst>
          </c:dPt>
          <c:dPt>
            <c:idx val="7"/>
            <c:bubble3D val="0"/>
            <c:spPr>
              <a:solidFill>
                <a:srgbClr val="AABAD7"/>
              </a:solidFill>
            </c:spPr>
            <c:extLst>
              <c:ext xmlns:c16="http://schemas.microsoft.com/office/drawing/2014/chart" uri="{C3380CC4-5D6E-409C-BE32-E72D297353CC}">
                <c16:uniqueId val="{0000000F-A8E2-49BF-AD7F-0775CEEC27A4}"/>
              </c:ext>
            </c:extLst>
          </c:dPt>
          <c:dPt>
            <c:idx val="8"/>
            <c:bubble3D val="0"/>
            <c:spPr>
              <a:solidFill>
                <a:srgbClr val="F79646"/>
              </a:solidFill>
            </c:spPr>
            <c:extLst>
              <c:ext xmlns:c16="http://schemas.microsoft.com/office/drawing/2014/chart" uri="{C3380CC4-5D6E-409C-BE32-E72D297353CC}">
                <c16:uniqueId val="{00000011-A8E2-49BF-AD7F-0775CEEC27A4}"/>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Grafer!$H$912:$H$920</c:f>
              <c:numCache>
                <c:formatCode>#,##0</c:formatCode>
                <c:ptCount val="9"/>
              </c:numCache>
            </c:numRef>
          </c:val>
          <c:extLst>
            <c:ext xmlns:c16="http://schemas.microsoft.com/office/drawing/2014/chart" uri="{C3380CC4-5D6E-409C-BE32-E72D297353CC}">
              <c16:uniqueId val="{00000012-A8E2-49BF-AD7F-0775CEEC27A4}"/>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Grafer!$C$60:$H$60</c:f>
              <c:strCache>
                <c:ptCount val="3"/>
                <c:pt idx="0">
                  <c:v>2018</c:v>
                </c:pt>
                <c:pt idx="1">
                  <c:v>BAU2030</c:v>
                </c:pt>
                <c:pt idx="2">
                  <c:v>BAU2050</c:v>
                </c:pt>
              </c:strCache>
            </c:strRef>
          </c:cat>
          <c:val>
            <c:numRef>
              <c:f>Grafer!$C$62:$H$62</c:f>
              <c:numCache>
                <c:formatCode>_(* #,##0.0_);_(* \(#,##0.0\);_(* "-"??_);_(@_)</c:formatCode>
                <c:ptCount val="6"/>
                <c:pt idx="0">
                  <c:v>37.851648833952154</c:v>
                </c:pt>
                <c:pt idx="1">
                  <c:v>42.089616700580237</c:v>
                </c:pt>
                <c:pt idx="2">
                  <c:v>45.42681395030241</c:v>
                </c:pt>
              </c:numCache>
            </c:numRef>
          </c:val>
          <c:extLst>
            <c:ext xmlns:c16="http://schemas.microsoft.com/office/drawing/2014/chart" uri="{C3380CC4-5D6E-409C-BE32-E72D297353CC}">
              <c16:uniqueId val="{00000000-CCDB-4D60-8679-64CBE580E63E}"/>
            </c:ext>
          </c:extLst>
        </c:ser>
        <c:dLbls>
          <c:showLegendKey val="0"/>
          <c:showVal val="1"/>
          <c:showCatName val="0"/>
          <c:showSerName val="0"/>
          <c:showPercent val="0"/>
          <c:showBubbleSize val="0"/>
        </c:dLbls>
        <c:gapWidth val="15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2728"/>
        <c:crosses val="autoZero"/>
        <c:auto val="1"/>
        <c:lblAlgn val="ctr"/>
        <c:lblOffset val="100"/>
        <c:noMultiLvlLbl val="0"/>
      </c:catAx>
      <c:valAx>
        <c:axId val="58003272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Grafer!$B$1019</c:f>
              <c:strCache>
                <c:ptCount val="1"/>
                <c:pt idx="0">
                  <c:v>Elforbrug</c:v>
                </c:pt>
              </c:strCache>
            </c:strRef>
          </c:tx>
          <c:invertIfNegative val="0"/>
          <c:cat>
            <c:strRef>
              <c:f>Grafer!$C$1018:$D$1018</c:f>
              <c:strCache>
                <c:ptCount val="2"/>
                <c:pt idx="0">
                  <c:v>Produktion</c:v>
                </c:pt>
                <c:pt idx="1">
                  <c:v>Forbrug</c:v>
                </c:pt>
              </c:strCache>
            </c:strRef>
          </c:cat>
          <c:val>
            <c:numRef>
              <c:f>Grafer!$C$1019:$D$1019</c:f>
              <c:numCache>
                <c:formatCode>#,##0</c:formatCode>
                <c:ptCount val="2"/>
                <c:pt idx="1">
                  <c:v>57.772137485894234</c:v>
                </c:pt>
              </c:numCache>
            </c:numRef>
          </c:val>
          <c:extLst>
            <c:ext xmlns:c16="http://schemas.microsoft.com/office/drawing/2014/chart" uri="{C3380CC4-5D6E-409C-BE32-E72D297353CC}">
              <c16:uniqueId val="{00000000-CFF6-430A-9363-B09D464F8003}"/>
            </c:ext>
          </c:extLst>
        </c:ser>
        <c:ser>
          <c:idx val="2"/>
          <c:order val="1"/>
          <c:tx>
            <c:strRef>
              <c:f>Grafer!$B$1020</c:f>
              <c:strCache>
                <c:ptCount val="1"/>
                <c:pt idx="0">
                  <c:v>Nettab</c:v>
                </c:pt>
              </c:strCache>
            </c:strRef>
          </c:tx>
          <c:invertIfNegative val="0"/>
          <c:cat>
            <c:strRef>
              <c:f>Grafer!$C$1018:$D$1018</c:f>
              <c:strCache>
                <c:ptCount val="2"/>
                <c:pt idx="0">
                  <c:v>Produktion</c:v>
                </c:pt>
                <c:pt idx="1">
                  <c:v>Forbrug</c:v>
                </c:pt>
              </c:strCache>
            </c:strRef>
          </c:cat>
          <c:val>
            <c:numRef>
              <c:f>Grafer!$C$1020:$D$1020</c:f>
              <c:numCache>
                <c:formatCode>#,##0</c:formatCode>
                <c:ptCount val="2"/>
                <c:pt idx="1">
                  <c:v>5.1262157921615525</c:v>
                </c:pt>
              </c:numCache>
            </c:numRef>
          </c:val>
          <c:extLst>
            <c:ext xmlns:c16="http://schemas.microsoft.com/office/drawing/2014/chart" uri="{C3380CC4-5D6E-409C-BE32-E72D297353CC}">
              <c16:uniqueId val="{00000001-CFF6-430A-9363-B09D464F8003}"/>
            </c:ext>
          </c:extLst>
        </c:ser>
        <c:ser>
          <c:idx val="3"/>
          <c:order val="2"/>
          <c:tx>
            <c:strRef>
              <c:f>Grafer!$B$1021</c:f>
              <c:strCache>
                <c:ptCount val="1"/>
                <c:pt idx="0">
                  <c:v>Elforbrug til fjernvarmeprod.</c:v>
                </c:pt>
              </c:strCache>
            </c:strRef>
          </c:tx>
          <c:invertIfNegative val="0"/>
          <c:cat>
            <c:strRef>
              <c:f>Grafer!$C$1018:$D$1018</c:f>
              <c:strCache>
                <c:ptCount val="2"/>
                <c:pt idx="0">
                  <c:v>Produktion</c:v>
                </c:pt>
                <c:pt idx="1">
                  <c:v>Forbrug</c:v>
                </c:pt>
              </c:strCache>
            </c:strRef>
          </c:cat>
          <c:val>
            <c:numRef>
              <c:f>Grafer!$C$1021:$D$1021</c:f>
              <c:numCache>
                <c:formatCode>#,##0</c:formatCode>
                <c:ptCount val="2"/>
                <c:pt idx="1">
                  <c:v>0</c:v>
                </c:pt>
              </c:numCache>
            </c:numRef>
          </c:val>
          <c:extLst>
            <c:ext xmlns:c16="http://schemas.microsoft.com/office/drawing/2014/chart" uri="{C3380CC4-5D6E-409C-BE32-E72D297353CC}">
              <c16:uniqueId val="{00000002-CFF6-430A-9363-B09D464F8003}"/>
            </c:ext>
          </c:extLst>
        </c:ser>
        <c:ser>
          <c:idx val="8"/>
          <c:order val="3"/>
          <c:tx>
            <c:strRef>
              <c:f>Grafer!$B$1022</c:f>
              <c:strCache>
                <c:ptCount val="1"/>
              </c:strCache>
            </c:strRef>
          </c:tx>
          <c:spPr>
            <a:solidFill>
              <a:schemeClr val="bg1"/>
            </a:solidFill>
          </c:spPr>
          <c:invertIfNegative val="0"/>
          <c:cat>
            <c:strRef>
              <c:f>Grafer!$C$1018:$D$1018</c:f>
              <c:strCache>
                <c:ptCount val="2"/>
                <c:pt idx="0">
                  <c:v>Produktion</c:v>
                </c:pt>
                <c:pt idx="1">
                  <c:v>Forbrug</c:v>
                </c:pt>
              </c:strCache>
            </c:strRef>
          </c:cat>
          <c:val>
            <c:numRef>
              <c:f>Grafer!$C$1022:$D$1022</c:f>
              <c:numCache>
                <c:formatCode>#,##0</c:formatCode>
                <c:ptCount val="2"/>
              </c:numCache>
            </c:numRef>
          </c:val>
          <c:extLst>
            <c:ext xmlns:c16="http://schemas.microsoft.com/office/drawing/2014/chart" uri="{C3380CC4-5D6E-409C-BE32-E72D297353CC}">
              <c16:uniqueId val="{00000003-CFF6-430A-9363-B09D464F8003}"/>
            </c:ext>
          </c:extLst>
        </c:ser>
        <c:ser>
          <c:idx val="5"/>
          <c:order val="4"/>
          <c:tx>
            <c:strRef>
              <c:f>Grafer!$B$1023</c:f>
              <c:strCache>
                <c:ptCount val="1"/>
                <c:pt idx="0">
                  <c:v>Kraftvarme</c:v>
                </c:pt>
              </c:strCache>
            </c:strRef>
          </c:tx>
          <c:invertIfNegative val="0"/>
          <c:cat>
            <c:strRef>
              <c:f>Grafer!$C$1018:$D$1018</c:f>
              <c:strCache>
                <c:ptCount val="2"/>
                <c:pt idx="0">
                  <c:v>Produktion</c:v>
                </c:pt>
                <c:pt idx="1">
                  <c:v>Forbrug</c:v>
                </c:pt>
              </c:strCache>
            </c:strRef>
          </c:cat>
          <c:val>
            <c:numRef>
              <c:f>Grafer!$C$1023:$D$1023</c:f>
              <c:numCache>
                <c:formatCode>#,##0</c:formatCode>
                <c:ptCount val="2"/>
                <c:pt idx="0">
                  <c:v>0</c:v>
                </c:pt>
              </c:numCache>
            </c:numRef>
          </c:val>
          <c:extLst>
            <c:ext xmlns:c16="http://schemas.microsoft.com/office/drawing/2014/chart" uri="{C3380CC4-5D6E-409C-BE32-E72D297353CC}">
              <c16:uniqueId val="{00000004-CFF6-430A-9363-B09D464F8003}"/>
            </c:ext>
          </c:extLst>
        </c:ser>
        <c:ser>
          <c:idx val="1"/>
          <c:order val="5"/>
          <c:tx>
            <c:strRef>
              <c:f>Grafer!$B$1024</c:f>
              <c:strCache>
                <c:ptCount val="1"/>
                <c:pt idx="0">
                  <c:v>Vindkraft, land</c:v>
                </c:pt>
              </c:strCache>
            </c:strRef>
          </c:tx>
          <c:invertIfNegative val="0"/>
          <c:cat>
            <c:strRef>
              <c:f>Grafer!$C$1018:$D$1018</c:f>
              <c:strCache>
                <c:ptCount val="2"/>
                <c:pt idx="0">
                  <c:v>Produktion</c:v>
                </c:pt>
                <c:pt idx="1">
                  <c:v>Forbrug</c:v>
                </c:pt>
              </c:strCache>
            </c:strRef>
          </c:cat>
          <c:val>
            <c:numRef>
              <c:f>Grafer!$C$1024:$D$1024</c:f>
              <c:numCache>
                <c:formatCode>#,##0</c:formatCode>
                <c:ptCount val="2"/>
                <c:pt idx="0">
                  <c:v>-6.9644848000000037E-2</c:v>
                </c:pt>
              </c:numCache>
            </c:numRef>
          </c:val>
          <c:extLst>
            <c:ext xmlns:c16="http://schemas.microsoft.com/office/drawing/2014/chart" uri="{C3380CC4-5D6E-409C-BE32-E72D297353CC}">
              <c16:uniqueId val="{00000005-CFF6-430A-9363-B09D464F8003}"/>
            </c:ext>
          </c:extLst>
        </c:ser>
        <c:ser>
          <c:idx val="4"/>
          <c:order val="6"/>
          <c:tx>
            <c:strRef>
              <c:f>Grafer!$B$1025</c:f>
              <c:strCache>
                <c:ptCount val="1"/>
                <c:pt idx="0">
                  <c:v>Vindkraft, kystnære</c:v>
                </c:pt>
              </c:strCache>
            </c:strRef>
          </c:tx>
          <c:invertIfNegative val="0"/>
          <c:cat>
            <c:strRef>
              <c:f>Grafer!$C$1018:$D$1018</c:f>
              <c:strCache>
                <c:ptCount val="2"/>
                <c:pt idx="0">
                  <c:v>Produktion</c:v>
                </c:pt>
                <c:pt idx="1">
                  <c:v>Forbrug</c:v>
                </c:pt>
              </c:strCache>
            </c:strRef>
          </c:cat>
          <c:val>
            <c:numRef>
              <c:f>Grafer!$C$1025:$D$1025</c:f>
              <c:numCache>
                <c:formatCode>#,##0</c:formatCode>
                <c:ptCount val="2"/>
                <c:pt idx="0">
                  <c:v>0</c:v>
                </c:pt>
              </c:numCache>
            </c:numRef>
          </c:val>
          <c:extLst>
            <c:ext xmlns:c16="http://schemas.microsoft.com/office/drawing/2014/chart" uri="{C3380CC4-5D6E-409C-BE32-E72D297353CC}">
              <c16:uniqueId val="{00000006-CFF6-430A-9363-B09D464F8003}"/>
            </c:ext>
          </c:extLst>
        </c:ser>
        <c:ser>
          <c:idx val="6"/>
          <c:order val="7"/>
          <c:tx>
            <c:strRef>
              <c:f>Grafer!$B$1026</c:f>
              <c:strCache>
                <c:ptCount val="1"/>
                <c:pt idx="0">
                  <c:v>Solcelleanlæg, vandkraft mv.</c:v>
                </c:pt>
              </c:strCache>
            </c:strRef>
          </c:tx>
          <c:invertIfNegative val="0"/>
          <c:cat>
            <c:strRef>
              <c:f>Grafer!$C$1018:$D$1018</c:f>
              <c:strCache>
                <c:ptCount val="2"/>
                <c:pt idx="0">
                  <c:v>Produktion</c:v>
                </c:pt>
                <c:pt idx="1">
                  <c:v>Forbrug</c:v>
                </c:pt>
              </c:strCache>
            </c:strRef>
          </c:cat>
          <c:val>
            <c:numRef>
              <c:f>Grafer!$C$1026:$D$1026</c:f>
              <c:numCache>
                <c:formatCode>#,##0</c:formatCode>
                <c:ptCount val="2"/>
                <c:pt idx="0">
                  <c:v>18.487000000000002</c:v>
                </c:pt>
              </c:numCache>
            </c:numRef>
          </c:val>
          <c:extLst>
            <c:ext xmlns:c16="http://schemas.microsoft.com/office/drawing/2014/chart" uri="{C3380CC4-5D6E-409C-BE32-E72D297353CC}">
              <c16:uniqueId val="{00000007-CFF6-430A-9363-B09D464F8003}"/>
            </c:ext>
          </c:extLst>
        </c:ser>
        <c:ser>
          <c:idx val="7"/>
          <c:order val="8"/>
          <c:tx>
            <c:strRef>
              <c:f>Grafer!$B$1027</c:f>
              <c:strCache>
                <c:ptCount val="1"/>
                <c:pt idx="0">
                  <c:v>El-import</c:v>
                </c:pt>
              </c:strCache>
            </c:strRef>
          </c:tx>
          <c:spPr>
            <a:solidFill>
              <a:schemeClr val="accent3">
                <a:lumMod val="75000"/>
              </a:schemeClr>
            </a:solidFill>
          </c:spPr>
          <c:invertIfNegative val="0"/>
          <c:cat>
            <c:strRef>
              <c:f>Grafer!$C$1018:$D$1018</c:f>
              <c:strCache>
                <c:ptCount val="2"/>
                <c:pt idx="0">
                  <c:v>Produktion</c:v>
                </c:pt>
                <c:pt idx="1">
                  <c:v>Forbrug</c:v>
                </c:pt>
              </c:strCache>
            </c:strRef>
          </c:cat>
          <c:val>
            <c:numRef>
              <c:f>Grafer!$C$1027:$D$1027</c:f>
              <c:numCache>
                <c:formatCode>#,##0</c:formatCode>
                <c:ptCount val="2"/>
                <c:pt idx="0">
                  <c:v>44.480998126055781</c:v>
                </c:pt>
              </c:numCache>
            </c:numRef>
          </c:val>
          <c:extLst>
            <c:ext xmlns:c16="http://schemas.microsoft.com/office/drawing/2014/chart" uri="{C3380CC4-5D6E-409C-BE32-E72D297353CC}">
              <c16:uniqueId val="{00000008-CFF6-430A-9363-B09D464F8003}"/>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Grafer!$B$1063</c:f>
              <c:strCache>
                <c:ptCount val="1"/>
                <c:pt idx="0">
                  <c:v>Elforbrug</c:v>
                </c:pt>
              </c:strCache>
            </c:strRef>
          </c:tx>
          <c:invertIfNegative val="0"/>
          <c:cat>
            <c:strRef>
              <c:f>Grafer!$C$1062:$D$1062</c:f>
              <c:strCache>
                <c:ptCount val="2"/>
                <c:pt idx="0">
                  <c:v>Produktion</c:v>
                </c:pt>
                <c:pt idx="1">
                  <c:v>Forbrug</c:v>
                </c:pt>
              </c:strCache>
            </c:strRef>
          </c:cat>
          <c:val>
            <c:numRef>
              <c:f>Grafer!$C$1063:$D$1063</c:f>
              <c:numCache>
                <c:formatCode>#,##0</c:formatCode>
                <c:ptCount val="2"/>
                <c:pt idx="1">
                  <c:v>57.772137485894234</c:v>
                </c:pt>
              </c:numCache>
            </c:numRef>
          </c:val>
          <c:extLst>
            <c:ext xmlns:c16="http://schemas.microsoft.com/office/drawing/2014/chart" uri="{C3380CC4-5D6E-409C-BE32-E72D297353CC}">
              <c16:uniqueId val="{00000000-75F9-4BCF-AC9C-3ADEF0DCCA74}"/>
            </c:ext>
          </c:extLst>
        </c:ser>
        <c:ser>
          <c:idx val="15"/>
          <c:order val="1"/>
          <c:tx>
            <c:strRef>
              <c:f>Grafer!$B$1064</c:f>
              <c:strCache>
                <c:ptCount val="1"/>
                <c:pt idx="0">
                  <c:v>Nettab</c:v>
                </c:pt>
              </c:strCache>
            </c:strRef>
          </c:tx>
          <c:spPr>
            <a:solidFill>
              <a:schemeClr val="accent3">
                <a:lumMod val="75000"/>
              </a:schemeClr>
            </a:solidFill>
          </c:spPr>
          <c:invertIfNegative val="0"/>
          <c:cat>
            <c:strRef>
              <c:f>Grafer!$C$1062:$D$1062</c:f>
              <c:strCache>
                <c:ptCount val="2"/>
                <c:pt idx="0">
                  <c:v>Produktion</c:v>
                </c:pt>
                <c:pt idx="1">
                  <c:v>Forbrug</c:v>
                </c:pt>
              </c:strCache>
            </c:strRef>
          </c:cat>
          <c:val>
            <c:numRef>
              <c:f>Grafer!$C$1064:$D$1064</c:f>
              <c:numCache>
                <c:formatCode>#,##0</c:formatCode>
                <c:ptCount val="2"/>
                <c:pt idx="1">
                  <c:v>5.1262157921615525</c:v>
                </c:pt>
              </c:numCache>
            </c:numRef>
          </c:val>
          <c:extLst>
            <c:ext xmlns:c16="http://schemas.microsoft.com/office/drawing/2014/chart" uri="{C3380CC4-5D6E-409C-BE32-E72D297353CC}">
              <c16:uniqueId val="{00000001-75F9-4BCF-AC9C-3ADEF0DCCA74}"/>
            </c:ext>
          </c:extLst>
        </c:ser>
        <c:ser>
          <c:idx val="3"/>
          <c:order val="2"/>
          <c:tx>
            <c:strRef>
              <c:f>Grafer!$B$1065</c:f>
              <c:strCache>
                <c:ptCount val="1"/>
                <c:pt idx="0">
                  <c:v>Elforbrug til fjernvarmeprod.</c:v>
                </c:pt>
              </c:strCache>
            </c:strRef>
          </c:tx>
          <c:invertIfNegative val="0"/>
          <c:cat>
            <c:strRef>
              <c:f>Grafer!$C$1062:$D$1062</c:f>
              <c:strCache>
                <c:ptCount val="2"/>
                <c:pt idx="0">
                  <c:v>Produktion</c:v>
                </c:pt>
                <c:pt idx="1">
                  <c:v>Forbrug</c:v>
                </c:pt>
              </c:strCache>
            </c:strRef>
          </c:cat>
          <c:val>
            <c:numRef>
              <c:f>Grafer!$C$1065:$D$1065</c:f>
              <c:numCache>
                <c:formatCode>#,##0</c:formatCode>
                <c:ptCount val="2"/>
                <c:pt idx="1">
                  <c:v>0</c:v>
                </c:pt>
              </c:numCache>
            </c:numRef>
          </c:val>
          <c:extLst>
            <c:ext xmlns:c16="http://schemas.microsoft.com/office/drawing/2014/chart" uri="{C3380CC4-5D6E-409C-BE32-E72D297353CC}">
              <c16:uniqueId val="{00000002-75F9-4BCF-AC9C-3ADEF0DCCA74}"/>
            </c:ext>
          </c:extLst>
        </c:ser>
        <c:ser>
          <c:idx val="1"/>
          <c:order val="3"/>
          <c:tx>
            <c:strRef>
              <c:f>Grafer!$B$1066</c:f>
              <c:strCache>
                <c:ptCount val="1"/>
              </c:strCache>
            </c:strRef>
          </c:tx>
          <c:spPr>
            <a:solidFill>
              <a:schemeClr val="bg1"/>
            </a:solidFill>
          </c:spPr>
          <c:invertIfNegative val="0"/>
          <c:cat>
            <c:strRef>
              <c:f>Grafer!$C$1062:$D$1062</c:f>
              <c:strCache>
                <c:ptCount val="2"/>
                <c:pt idx="0">
                  <c:v>Produktion</c:v>
                </c:pt>
                <c:pt idx="1">
                  <c:v>Forbrug</c:v>
                </c:pt>
              </c:strCache>
            </c:strRef>
          </c:cat>
          <c:val>
            <c:numRef>
              <c:f>Grafer!$C$1066:$D$1066</c:f>
              <c:numCache>
                <c:formatCode>#,##0</c:formatCode>
                <c:ptCount val="2"/>
              </c:numCache>
            </c:numRef>
          </c:val>
          <c:extLst>
            <c:ext xmlns:c16="http://schemas.microsoft.com/office/drawing/2014/chart" uri="{C3380CC4-5D6E-409C-BE32-E72D297353CC}">
              <c16:uniqueId val="{00000003-75F9-4BCF-AC9C-3ADEF0DCCA74}"/>
            </c:ext>
          </c:extLst>
        </c:ser>
        <c:ser>
          <c:idx val="5"/>
          <c:order val="4"/>
          <c:tx>
            <c:strRef>
              <c:f>Grafer!$B$1067</c:f>
              <c:strCache>
                <c:ptCount val="1"/>
                <c:pt idx="0">
                  <c:v>Brændselsolie/diesel</c:v>
                </c:pt>
              </c:strCache>
            </c:strRef>
          </c:tx>
          <c:invertIfNegative val="0"/>
          <c:cat>
            <c:strRef>
              <c:f>Grafer!$C$1062:$D$1062</c:f>
              <c:strCache>
                <c:ptCount val="2"/>
                <c:pt idx="0">
                  <c:v>Produktion</c:v>
                </c:pt>
                <c:pt idx="1">
                  <c:v>Forbrug</c:v>
                </c:pt>
              </c:strCache>
            </c:strRef>
          </c:cat>
          <c:val>
            <c:numRef>
              <c:f>Grafer!$C$1067:$D$1067</c:f>
              <c:numCache>
                <c:formatCode>#,##0</c:formatCode>
                <c:ptCount val="2"/>
                <c:pt idx="0">
                  <c:v>0</c:v>
                </c:pt>
              </c:numCache>
            </c:numRef>
          </c:val>
          <c:extLst>
            <c:ext xmlns:c16="http://schemas.microsoft.com/office/drawing/2014/chart" uri="{C3380CC4-5D6E-409C-BE32-E72D297353CC}">
              <c16:uniqueId val="{00000004-75F9-4BCF-AC9C-3ADEF0DCCA74}"/>
            </c:ext>
          </c:extLst>
        </c:ser>
        <c:ser>
          <c:idx val="2"/>
          <c:order val="5"/>
          <c:tx>
            <c:strRef>
              <c:f>Grafer!$B$1068</c:f>
              <c:strCache>
                <c:ptCount val="1"/>
                <c:pt idx="0">
                  <c:v>Kul</c:v>
                </c:pt>
              </c:strCache>
            </c:strRef>
          </c:tx>
          <c:invertIfNegative val="0"/>
          <c:cat>
            <c:strRef>
              <c:f>Grafer!$C$1062:$D$1062</c:f>
              <c:strCache>
                <c:ptCount val="2"/>
                <c:pt idx="0">
                  <c:v>Produktion</c:v>
                </c:pt>
                <c:pt idx="1">
                  <c:v>Forbrug</c:v>
                </c:pt>
              </c:strCache>
            </c:strRef>
          </c:cat>
          <c:val>
            <c:numRef>
              <c:f>Grafer!$C$1068:$D$1068</c:f>
              <c:numCache>
                <c:formatCode>#,##0</c:formatCode>
                <c:ptCount val="2"/>
                <c:pt idx="0">
                  <c:v>0</c:v>
                </c:pt>
              </c:numCache>
            </c:numRef>
          </c:val>
          <c:extLst>
            <c:ext xmlns:c16="http://schemas.microsoft.com/office/drawing/2014/chart" uri="{C3380CC4-5D6E-409C-BE32-E72D297353CC}">
              <c16:uniqueId val="{00000005-75F9-4BCF-AC9C-3ADEF0DCCA74}"/>
            </c:ext>
          </c:extLst>
        </c:ser>
        <c:ser>
          <c:idx val="4"/>
          <c:order val="6"/>
          <c:tx>
            <c:strRef>
              <c:f>Grafer!$B$1069</c:f>
              <c:strCache>
                <c:ptCount val="1"/>
                <c:pt idx="0">
                  <c:v>Fuelolie</c:v>
                </c:pt>
              </c:strCache>
            </c:strRef>
          </c:tx>
          <c:invertIfNegative val="0"/>
          <c:cat>
            <c:strRef>
              <c:f>Grafer!$C$1062:$D$1062</c:f>
              <c:strCache>
                <c:ptCount val="2"/>
                <c:pt idx="0">
                  <c:v>Produktion</c:v>
                </c:pt>
                <c:pt idx="1">
                  <c:v>Forbrug</c:v>
                </c:pt>
              </c:strCache>
            </c:strRef>
          </c:cat>
          <c:val>
            <c:numRef>
              <c:f>Grafer!$C$1069:$D$1069</c:f>
              <c:numCache>
                <c:formatCode>#,##0</c:formatCode>
                <c:ptCount val="2"/>
                <c:pt idx="0">
                  <c:v>0</c:v>
                </c:pt>
              </c:numCache>
            </c:numRef>
          </c:val>
          <c:extLst>
            <c:ext xmlns:c16="http://schemas.microsoft.com/office/drawing/2014/chart" uri="{C3380CC4-5D6E-409C-BE32-E72D297353CC}">
              <c16:uniqueId val="{00000006-75F9-4BCF-AC9C-3ADEF0DCCA74}"/>
            </c:ext>
          </c:extLst>
        </c:ser>
        <c:ser>
          <c:idx val="14"/>
          <c:order val="7"/>
          <c:tx>
            <c:strRef>
              <c:f>Grafer!$B$1070</c:f>
              <c:strCache>
                <c:ptCount val="1"/>
                <c:pt idx="0">
                  <c:v>Naturgas</c:v>
                </c:pt>
              </c:strCache>
            </c:strRef>
          </c:tx>
          <c:spPr>
            <a:solidFill>
              <a:schemeClr val="accent6">
                <a:lumMod val="75000"/>
              </a:schemeClr>
            </a:solidFill>
          </c:spPr>
          <c:invertIfNegative val="0"/>
          <c:cat>
            <c:strRef>
              <c:f>Grafer!$C$1062:$D$1062</c:f>
              <c:strCache>
                <c:ptCount val="2"/>
                <c:pt idx="0">
                  <c:v>Produktion</c:v>
                </c:pt>
                <c:pt idx="1">
                  <c:v>Forbrug</c:v>
                </c:pt>
              </c:strCache>
            </c:strRef>
          </c:cat>
          <c:val>
            <c:numRef>
              <c:f>Grafer!$C$1070:$D$1070</c:f>
              <c:numCache>
                <c:formatCode>#,##0</c:formatCode>
                <c:ptCount val="2"/>
                <c:pt idx="0">
                  <c:v>0</c:v>
                </c:pt>
              </c:numCache>
            </c:numRef>
          </c:val>
          <c:extLst>
            <c:ext xmlns:c16="http://schemas.microsoft.com/office/drawing/2014/chart" uri="{C3380CC4-5D6E-409C-BE32-E72D297353CC}">
              <c16:uniqueId val="{00000007-75F9-4BCF-AC9C-3ADEF0DCCA74}"/>
            </c:ext>
          </c:extLst>
        </c:ser>
        <c:ser>
          <c:idx val="13"/>
          <c:order val="8"/>
          <c:tx>
            <c:strRef>
              <c:f>Grafer!$B$1071</c:f>
              <c:strCache>
                <c:ptCount val="1"/>
                <c:pt idx="0">
                  <c:v>Affald, ikke bionedbrydeligt</c:v>
                </c:pt>
              </c:strCache>
            </c:strRef>
          </c:tx>
          <c:spPr>
            <a:solidFill>
              <a:schemeClr val="accent4">
                <a:lumMod val="75000"/>
              </a:schemeClr>
            </a:solidFill>
          </c:spPr>
          <c:invertIfNegative val="0"/>
          <c:cat>
            <c:strRef>
              <c:f>Grafer!$C$1062:$D$1062</c:f>
              <c:strCache>
                <c:ptCount val="2"/>
                <c:pt idx="0">
                  <c:v>Produktion</c:v>
                </c:pt>
                <c:pt idx="1">
                  <c:v>Forbrug</c:v>
                </c:pt>
              </c:strCache>
            </c:strRef>
          </c:cat>
          <c:val>
            <c:numRef>
              <c:f>Grafer!$C$1071:$D$1071</c:f>
              <c:numCache>
                <c:formatCode>#,##0</c:formatCode>
                <c:ptCount val="2"/>
                <c:pt idx="0">
                  <c:v>0</c:v>
                </c:pt>
              </c:numCache>
            </c:numRef>
          </c:val>
          <c:extLst>
            <c:ext xmlns:c16="http://schemas.microsoft.com/office/drawing/2014/chart" uri="{C3380CC4-5D6E-409C-BE32-E72D297353CC}">
              <c16:uniqueId val="{00000008-75F9-4BCF-AC9C-3ADEF0DCCA74}"/>
            </c:ext>
          </c:extLst>
        </c:ser>
        <c:ser>
          <c:idx val="7"/>
          <c:order val="9"/>
          <c:tx>
            <c:strRef>
              <c:f>Grafer!$B$1072</c:f>
              <c:strCache>
                <c:ptCount val="1"/>
                <c:pt idx="0">
                  <c:v>Affald, bionedbrydeligt</c:v>
                </c:pt>
              </c:strCache>
            </c:strRef>
          </c:tx>
          <c:invertIfNegative val="0"/>
          <c:cat>
            <c:strRef>
              <c:f>Grafer!$C$1062:$D$1062</c:f>
              <c:strCache>
                <c:ptCount val="2"/>
                <c:pt idx="0">
                  <c:v>Produktion</c:v>
                </c:pt>
                <c:pt idx="1">
                  <c:v>Forbrug</c:v>
                </c:pt>
              </c:strCache>
            </c:strRef>
          </c:cat>
          <c:val>
            <c:numRef>
              <c:f>Grafer!$C$1072:$D$1072</c:f>
              <c:numCache>
                <c:formatCode>#,##0</c:formatCode>
                <c:ptCount val="2"/>
                <c:pt idx="0">
                  <c:v>0</c:v>
                </c:pt>
              </c:numCache>
            </c:numRef>
          </c:val>
          <c:extLst>
            <c:ext xmlns:c16="http://schemas.microsoft.com/office/drawing/2014/chart" uri="{C3380CC4-5D6E-409C-BE32-E72D297353CC}">
              <c16:uniqueId val="{00000009-75F9-4BCF-AC9C-3ADEF0DCCA74}"/>
            </c:ext>
          </c:extLst>
        </c:ser>
        <c:ser>
          <c:idx val="8"/>
          <c:order val="10"/>
          <c:tx>
            <c:strRef>
              <c:f>Grafer!$B$1073</c:f>
              <c:strCache>
                <c:ptCount val="1"/>
                <c:pt idx="0">
                  <c:v>Biomasse</c:v>
                </c:pt>
              </c:strCache>
            </c:strRef>
          </c:tx>
          <c:invertIfNegative val="0"/>
          <c:cat>
            <c:strRef>
              <c:f>Grafer!$C$1062:$D$1062</c:f>
              <c:strCache>
                <c:ptCount val="2"/>
                <c:pt idx="0">
                  <c:v>Produktion</c:v>
                </c:pt>
                <c:pt idx="1">
                  <c:v>Forbrug</c:v>
                </c:pt>
              </c:strCache>
            </c:strRef>
          </c:cat>
          <c:val>
            <c:numRef>
              <c:f>Grafer!$C$1073:$D$1073</c:f>
              <c:numCache>
                <c:formatCode>#,##0</c:formatCode>
                <c:ptCount val="2"/>
                <c:pt idx="0">
                  <c:v>0</c:v>
                </c:pt>
              </c:numCache>
            </c:numRef>
          </c:val>
          <c:extLst>
            <c:ext xmlns:c16="http://schemas.microsoft.com/office/drawing/2014/chart" uri="{C3380CC4-5D6E-409C-BE32-E72D297353CC}">
              <c16:uniqueId val="{0000000A-75F9-4BCF-AC9C-3ADEF0DCCA74}"/>
            </c:ext>
          </c:extLst>
        </c:ser>
        <c:ser>
          <c:idx val="9"/>
          <c:order val="11"/>
          <c:tx>
            <c:strRef>
              <c:f>Grafer!$B$1074</c:f>
              <c:strCache>
                <c:ptCount val="1"/>
                <c:pt idx="0">
                  <c:v>Vindenergi</c:v>
                </c:pt>
              </c:strCache>
            </c:strRef>
          </c:tx>
          <c:invertIfNegative val="0"/>
          <c:cat>
            <c:strRef>
              <c:f>Grafer!$C$1062:$D$1062</c:f>
              <c:strCache>
                <c:ptCount val="2"/>
                <c:pt idx="0">
                  <c:v>Produktion</c:v>
                </c:pt>
                <c:pt idx="1">
                  <c:v>Forbrug</c:v>
                </c:pt>
              </c:strCache>
            </c:strRef>
          </c:cat>
          <c:val>
            <c:numRef>
              <c:f>Grafer!$C$1074:$D$1074</c:f>
              <c:numCache>
                <c:formatCode>#,##0</c:formatCode>
                <c:ptCount val="2"/>
                <c:pt idx="0">
                  <c:v>-6.9644848000000037E-2</c:v>
                </c:pt>
              </c:numCache>
            </c:numRef>
          </c:val>
          <c:extLst>
            <c:ext xmlns:c16="http://schemas.microsoft.com/office/drawing/2014/chart" uri="{C3380CC4-5D6E-409C-BE32-E72D297353CC}">
              <c16:uniqueId val="{0000000B-75F9-4BCF-AC9C-3ADEF0DCCA74}"/>
            </c:ext>
          </c:extLst>
        </c:ser>
        <c:ser>
          <c:idx val="10"/>
          <c:order val="12"/>
          <c:tx>
            <c:strRef>
              <c:f>Grafer!$B$1075</c:f>
              <c:strCache>
                <c:ptCount val="1"/>
                <c:pt idx="0">
                  <c:v>Biogas</c:v>
                </c:pt>
              </c:strCache>
            </c:strRef>
          </c:tx>
          <c:invertIfNegative val="0"/>
          <c:cat>
            <c:strRef>
              <c:f>Grafer!$C$1062:$D$1062</c:f>
              <c:strCache>
                <c:ptCount val="2"/>
                <c:pt idx="0">
                  <c:v>Produktion</c:v>
                </c:pt>
                <c:pt idx="1">
                  <c:v>Forbrug</c:v>
                </c:pt>
              </c:strCache>
            </c:strRef>
          </c:cat>
          <c:val>
            <c:numRef>
              <c:f>Grafer!$C$1075:$D$1075</c:f>
              <c:numCache>
                <c:formatCode>#,##0</c:formatCode>
                <c:ptCount val="2"/>
                <c:pt idx="0">
                  <c:v>0</c:v>
                </c:pt>
              </c:numCache>
            </c:numRef>
          </c:val>
          <c:extLst>
            <c:ext xmlns:c16="http://schemas.microsoft.com/office/drawing/2014/chart" uri="{C3380CC4-5D6E-409C-BE32-E72D297353CC}">
              <c16:uniqueId val="{0000000C-75F9-4BCF-AC9C-3ADEF0DCCA74}"/>
            </c:ext>
          </c:extLst>
        </c:ser>
        <c:ser>
          <c:idx val="11"/>
          <c:order val="13"/>
          <c:tx>
            <c:strRef>
              <c:f>Grafer!$B$1076</c:f>
              <c:strCache>
                <c:ptCount val="1"/>
                <c:pt idx="0">
                  <c:v>Solenergi</c:v>
                </c:pt>
              </c:strCache>
            </c:strRef>
          </c:tx>
          <c:invertIfNegative val="0"/>
          <c:cat>
            <c:strRef>
              <c:f>Grafer!$C$1062:$D$1062</c:f>
              <c:strCache>
                <c:ptCount val="2"/>
                <c:pt idx="0">
                  <c:v>Produktion</c:v>
                </c:pt>
                <c:pt idx="1">
                  <c:v>Forbrug</c:v>
                </c:pt>
              </c:strCache>
            </c:strRef>
          </c:cat>
          <c:val>
            <c:numRef>
              <c:f>Grafer!$C$1076:$D$1076</c:f>
              <c:numCache>
                <c:formatCode>#,##0</c:formatCode>
                <c:ptCount val="2"/>
                <c:pt idx="0">
                  <c:v>18.14</c:v>
                </c:pt>
              </c:numCache>
            </c:numRef>
          </c:val>
          <c:extLst>
            <c:ext xmlns:c16="http://schemas.microsoft.com/office/drawing/2014/chart" uri="{C3380CC4-5D6E-409C-BE32-E72D297353CC}">
              <c16:uniqueId val="{0000000D-75F9-4BCF-AC9C-3ADEF0DCCA74}"/>
            </c:ext>
          </c:extLst>
        </c:ser>
        <c:ser>
          <c:idx val="12"/>
          <c:order val="14"/>
          <c:tx>
            <c:strRef>
              <c:f>Grafer!$B$1077</c:f>
              <c:strCache>
                <c:ptCount val="1"/>
                <c:pt idx="0">
                  <c:v>Vandenergi mv.</c:v>
                </c:pt>
              </c:strCache>
            </c:strRef>
          </c:tx>
          <c:invertIfNegative val="0"/>
          <c:cat>
            <c:strRef>
              <c:f>Grafer!$C$1062:$D$1062</c:f>
              <c:strCache>
                <c:ptCount val="2"/>
                <c:pt idx="0">
                  <c:v>Produktion</c:v>
                </c:pt>
                <c:pt idx="1">
                  <c:v>Forbrug</c:v>
                </c:pt>
              </c:strCache>
            </c:strRef>
          </c:cat>
          <c:val>
            <c:numRef>
              <c:f>Grafer!$C$1077:$D$1077</c:f>
              <c:numCache>
                <c:formatCode>#,##0</c:formatCode>
                <c:ptCount val="2"/>
                <c:pt idx="0">
                  <c:v>0.34699999999999998</c:v>
                </c:pt>
              </c:numCache>
            </c:numRef>
          </c:val>
          <c:extLst>
            <c:ext xmlns:c16="http://schemas.microsoft.com/office/drawing/2014/chart" uri="{C3380CC4-5D6E-409C-BE32-E72D297353CC}">
              <c16:uniqueId val="{0000000E-75F9-4BCF-AC9C-3ADEF0DCCA74}"/>
            </c:ext>
          </c:extLst>
        </c:ser>
        <c:ser>
          <c:idx val="0"/>
          <c:order val="15"/>
          <c:tx>
            <c:strRef>
              <c:f>Grafer!$B$1078</c:f>
              <c:strCache>
                <c:ptCount val="1"/>
                <c:pt idx="0">
                  <c:v>Elimport</c:v>
                </c:pt>
              </c:strCache>
            </c:strRef>
          </c:tx>
          <c:invertIfNegative val="0"/>
          <c:cat>
            <c:strRef>
              <c:f>Grafer!$C$1062:$D$1062</c:f>
              <c:strCache>
                <c:ptCount val="2"/>
                <c:pt idx="0">
                  <c:v>Produktion</c:v>
                </c:pt>
                <c:pt idx="1">
                  <c:v>Forbrug</c:v>
                </c:pt>
              </c:strCache>
            </c:strRef>
          </c:cat>
          <c:val>
            <c:numRef>
              <c:f>Grafer!$C$1078:$D$1078</c:f>
              <c:numCache>
                <c:formatCode>#,##0</c:formatCode>
                <c:ptCount val="2"/>
                <c:pt idx="0">
                  <c:v>44.480998126055781</c:v>
                </c:pt>
              </c:numCache>
            </c:numRef>
          </c:val>
          <c:extLst>
            <c:ext xmlns:c16="http://schemas.microsoft.com/office/drawing/2014/chart" uri="{C3380CC4-5D6E-409C-BE32-E72D297353CC}">
              <c16:uniqueId val="{0000000F-75F9-4BCF-AC9C-3ADEF0DCCA74}"/>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Grafer!$B$1117</c:f>
              <c:strCache>
                <c:ptCount val="1"/>
                <c:pt idx="0">
                  <c:v>Forbrug</c:v>
                </c:pt>
              </c:strCache>
            </c:strRef>
          </c:tx>
          <c:invertIfNegative val="0"/>
          <c:cat>
            <c:strRef>
              <c:f>Grafer!$C$1116:$D$1116</c:f>
              <c:strCache>
                <c:ptCount val="2"/>
                <c:pt idx="0">
                  <c:v>Produktion</c:v>
                </c:pt>
                <c:pt idx="1">
                  <c:v>Forbrug</c:v>
                </c:pt>
              </c:strCache>
            </c:strRef>
          </c:cat>
          <c:val>
            <c:numRef>
              <c:f>Grafer!$C$1117:$D$1117</c:f>
              <c:numCache>
                <c:formatCode>#,##0</c:formatCode>
                <c:ptCount val="2"/>
                <c:pt idx="1">
                  <c:v>15.636959999999998</c:v>
                </c:pt>
              </c:numCache>
            </c:numRef>
          </c:val>
          <c:extLst>
            <c:ext xmlns:c16="http://schemas.microsoft.com/office/drawing/2014/chart" uri="{C3380CC4-5D6E-409C-BE32-E72D297353CC}">
              <c16:uniqueId val="{00000000-0FB2-4CD8-AB9B-B9707CDE787E}"/>
            </c:ext>
          </c:extLst>
        </c:ser>
        <c:ser>
          <c:idx val="8"/>
          <c:order val="1"/>
          <c:tx>
            <c:strRef>
              <c:f>Grafer!$B$1118</c:f>
              <c:strCache>
                <c:ptCount val="1"/>
                <c:pt idx="0">
                  <c:v>Nettab</c:v>
                </c:pt>
              </c:strCache>
            </c:strRef>
          </c:tx>
          <c:spPr>
            <a:solidFill>
              <a:schemeClr val="accent5">
                <a:lumMod val="40000"/>
                <a:lumOff val="60000"/>
              </a:schemeClr>
            </a:solidFill>
          </c:spPr>
          <c:invertIfNegative val="0"/>
          <c:cat>
            <c:strRef>
              <c:f>Grafer!$C$1116:$D$1116</c:f>
              <c:strCache>
                <c:ptCount val="2"/>
                <c:pt idx="0">
                  <c:v>Produktion</c:v>
                </c:pt>
                <c:pt idx="1">
                  <c:v>Forbrug</c:v>
                </c:pt>
              </c:strCache>
            </c:strRef>
          </c:cat>
          <c:val>
            <c:numRef>
              <c:f>Grafer!$C$1118:$D$1118</c:f>
              <c:numCache>
                <c:formatCode>#,##0</c:formatCode>
                <c:ptCount val="2"/>
                <c:pt idx="1">
                  <c:v>5.2123200000000018</c:v>
                </c:pt>
              </c:numCache>
            </c:numRef>
          </c:val>
          <c:extLst>
            <c:ext xmlns:c16="http://schemas.microsoft.com/office/drawing/2014/chart" uri="{C3380CC4-5D6E-409C-BE32-E72D297353CC}">
              <c16:uniqueId val="{00000001-0FB2-4CD8-AB9B-B9707CDE787E}"/>
            </c:ext>
          </c:extLst>
        </c:ser>
        <c:ser>
          <c:idx val="3"/>
          <c:order val="2"/>
          <c:tx>
            <c:strRef>
              <c:f>Grafer!$B$1119</c:f>
              <c:strCache>
                <c:ptCount val="1"/>
                <c:pt idx="0">
                  <c:v>Egetforbrug af varme, industri</c:v>
                </c:pt>
              </c:strCache>
            </c:strRef>
          </c:tx>
          <c:invertIfNegative val="0"/>
          <c:cat>
            <c:strRef>
              <c:f>Grafer!$C$1116:$D$1116</c:f>
              <c:strCache>
                <c:ptCount val="2"/>
                <c:pt idx="0">
                  <c:v>Produktion</c:v>
                </c:pt>
                <c:pt idx="1">
                  <c:v>Forbrug</c:v>
                </c:pt>
              </c:strCache>
            </c:strRef>
          </c:cat>
          <c:val>
            <c:numRef>
              <c:f>Grafer!$C$1119:$D$1119</c:f>
              <c:numCache>
                <c:formatCode>#,##0</c:formatCode>
                <c:ptCount val="2"/>
                <c:pt idx="1">
                  <c:v>0</c:v>
                </c:pt>
              </c:numCache>
            </c:numRef>
          </c:val>
          <c:extLst>
            <c:ext xmlns:c16="http://schemas.microsoft.com/office/drawing/2014/chart" uri="{C3380CC4-5D6E-409C-BE32-E72D297353CC}">
              <c16:uniqueId val="{00000002-0FB2-4CD8-AB9B-B9707CDE787E}"/>
            </c:ext>
          </c:extLst>
        </c:ser>
        <c:ser>
          <c:idx val="2"/>
          <c:order val="3"/>
          <c:tx>
            <c:strRef>
              <c:f>Grafer!$B$1120</c:f>
              <c:strCache>
                <c:ptCount val="1"/>
              </c:strCache>
            </c:strRef>
          </c:tx>
          <c:spPr>
            <a:solidFill>
              <a:schemeClr val="bg1"/>
            </a:solidFill>
          </c:spPr>
          <c:invertIfNegative val="0"/>
          <c:cat>
            <c:strRef>
              <c:f>Grafer!$C$1116:$D$1116</c:f>
              <c:strCache>
                <c:ptCount val="2"/>
                <c:pt idx="0">
                  <c:v>Produktion</c:v>
                </c:pt>
                <c:pt idx="1">
                  <c:v>Forbrug</c:v>
                </c:pt>
              </c:strCache>
            </c:strRef>
          </c:cat>
          <c:val>
            <c:numRef>
              <c:f>Grafer!$C$1120:$D$1120</c:f>
              <c:numCache>
                <c:formatCode>#,##0</c:formatCode>
                <c:ptCount val="2"/>
              </c:numCache>
            </c:numRef>
          </c:val>
          <c:extLst>
            <c:ext xmlns:c16="http://schemas.microsoft.com/office/drawing/2014/chart" uri="{C3380CC4-5D6E-409C-BE32-E72D297353CC}">
              <c16:uniqueId val="{00000003-0FB2-4CD8-AB9B-B9707CDE787E}"/>
            </c:ext>
          </c:extLst>
        </c:ser>
        <c:ser>
          <c:idx val="1"/>
          <c:order val="4"/>
          <c:tx>
            <c:strRef>
              <c:f>Grafer!$B$1121</c:f>
              <c:strCache>
                <c:ptCount val="1"/>
                <c:pt idx="0">
                  <c:v>Kraftvarme</c:v>
                </c:pt>
              </c:strCache>
            </c:strRef>
          </c:tx>
          <c:invertIfNegative val="0"/>
          <c:cat>
            <c:strRef>
              <c:f>Grafer!$C$1116:$D$1116</c:f>
              <c:strCache>
                <c:ptCount val="2"/>
                <c:pt idx="0">
                  <c:v>Produktion</c:v>
                </c:pt>
                <c:pt idx="1">
                  <c:v>Forbrug</c:v>
                </c:pt>
              </c:strCache>
            </c:strRef>
          </c:cat>
          <c:val>
            <c:numRef>
              <c:f>Grafer!$C$1121:$D$1121</c:f>
              <c:numCache>
                <c:formatCode>#,##0</c:formatCode>
                <c:ptCount val="2"/>
                <c:pt idx="0">
                  <c:v>0</c:v>
                </c:pt>
              </c:numCache>
            </c:numRef>
          </c:val>
          <c:extLst>
            <c:ext xmlns:c16="http://schemas.microsoft.com/office/drawing/2014/chart" uri="{C3380CC4-5D6E-409C-BE32-E72D297353CC}">
              <c16:uniqueId val="{00000004-0FB2-4CD8-AB9B-B9707CDE787E}"/>
            </c:ext>
          </c:extLst>
        </c:ser>
        <c:ser>
          <c:idx val="4"/>
          <c:order val="5"/>
          <c:tx>
            <c:strRef>
              <c:f>Grafer!$B$1122</c:f>
              <c:strCache>
                <c:ptCount val="1"/>
                <c:pt idx="0">
                  <c:v>Kedel</c:v>
                </c:pt>
              </c:strCache>
            </c:strRef>
          </c:tx>
          <c:invertIfNegative val="0"/>
          <c:cat>
            <c:strRef>
              <c:f>Grafer!$C$1116:$D$1116</c:f>
              <c:strCache>
                <c:ptCount val="2"/>
                <c:pt idx="0">
                  <c:v>Produktion</c:v>
                </c:pt>
                <c:pt idx="1">
                  <c:v>Forbrug</c:v>
                </c:pt>
              </c:strCache>
            </c:strRef>
          </c:cat>
          <c:val>
            <c:numRef>
              <c:f>Grafer!$C$1122:$D$1122</c:f>
              <c:numCache>
                <c:formatCode>#,##0</c:formatCode>
                <c:ptCount val="2"/>
                <c:pt idx="0">
                  <c:v>20.84928</c:v>
                </c:pt>
              </c:numCache>
            </c:numRef>
          </c:val>
          <c:extLst>
            <c:ext xmlns:c16="http://schemas.microsoft.com/office/drawing/2014/chart" uri="{C3380CC4-5D6E-409C-BE32-E72D297353CC}">
              <c16:uniqueId val="{00000005-0FB2-4CD8-AB9B-B9707CDE787E}"/>
            </c:ext>
          </c:extLst>
        </c:ser>
        <c:ser>
          <c:idx val="6"/>
          <c:order val="6"/>
          <c:tx>
            <c:strRef>
              <c:f>Grafer!$B$1123</c:f>
              <c:strCache>
                <c:ptCount val="1"/>
                <c:pt idx="0">
                  <c:v>Varmepumper og elpatroner</c:v>
                </c:pt>
              </c:strCache>
            </c:strRef>
          </c:tx>
          <c:invertIfNegative val="0"/>
          <c:cat>
            <c:strRef>
              <c:f>Grafer!$C$1116:$D$1116</c:f>
              <c:strCache>
                <c:ptCount val="2"/>
                <c:pt idx="0">
                  <c:v>Produktion</c:v>
                </c:pt>
                <c:pt idx="1">
                  <c:v>Forbrug</c:v>
                </c:pt>
              </c:strCache>
            </c:strRef>
          </c:cat>
          <c:val>
            <c:numRef>
              <c:f>Grafer!$C$1123:$D$1123</c:f>
              <c:numCache>
                <c:formatCode>#,##0</c:formatCode>
                <c:ptCount val="2"/>
                <c:pt idx="0">
                  <c:v>0</c:v>
                </c:pt>
              </c:numCache>
            </c:numRef>
          </c:val>
          <c:extLst>
            <c:ext xmlns:c16="http://schemas.microsoft.com/office/drawing/2014/chart" uri="{C3380CC4-5D6E-409C-BE32-E72D297353CC}">
              <c16:uniqueId val="{00000006-0FB2-4CD8-AB9B-B9707CDE787E}"/>
            </c:ext>
          </c:extLst>
        </c:ser>
        <c:ser>
          <c:idx val="7"/>
          <c:order val="7"/>
          <c:tx>
            <c:strRef>
              <c:f>Grafer!$B$1124</c:f>
              <c:strCache>
                <c:ptCount val="1"/>
                <c:pt idx="0">
                  <c:v>Solvarme</c:v>
                </c:pt>
              </c:strCache>
            </c:strRef>
          </c:tx>
          <c:spPr>
            <a:solidFill>
              <a:srgbClr val="FFC000"/>
            </a:solidFill>
          </c:spPr>
          <c:invertIfNegative val="0"/>
          <c:cat>
            <c:strRef>
              <c:f>Grafer!$C$1116:$D$1116</c:f>
              <c:strCache>
                <c:ptCount val="2"/>
                <c:pt idx="0">
                  <c:v>Produktion</c:v>
                </c:pt>
                <c:pt idx="1">
                  <c:v>Forbrug</c:v>
                </c:pt>
              </c:strCache>
            </c:strRef>
          </c:cat>
          <c:val>
            <c:numRef>
              <c:f>Grafer!$C$1124:$D$1124</c:f>
              <c:numCache>
                <c:formatCode>#,##0</c:formatCode>
                <c:ptCount val="2"/>
                <c:pt idx="0">
                  <c:v>0</c:v>
                </c:pt>
              </c:numCache>
            </c:numRef>
          </c:val>
          <c:extLst>
            <c:ext xmlns:c16="http://schemas.microsoft.com/office/drawing/2014/chart" uri="{C3380CC4-5D6E-409C-BE32-E72D297353CC}">
              <c16:uniqueId val="{00000007-0FB2-4CD8-AB9B-B9707CDE787E}"/>
            </c:ext>
          </c:extLst>
        </c:ser>
        <c:ser>
          <c:idx val="9"/>
          <c:order val="8"/>
          <c:tx>
            <c:strRef>
              <c:f>Grafer!$B$1125</c:f>
              <c:strCache>
                <c:ptCount val="1"/>
                <c:pt idx="0">
                  <c:v>Geotermi</c:v>
                </c:pt>
              </c:strCache>
            </c:strRef>
          </c:tx>
          <c:spPr>
            <a:solidFill>
              <a:schemeClr val="bg2">
                <a:lumMod val="50000"/>
              </a:schemeClr>
            </a:solidFill>
          </c:spPr>
          <c:invertIfNegative val="0"/>
          <c:cat>
            <c:strRef>
              <c:f>Grafer!$C$1116:$D$1116</c:f>
              <c:strCache>
                <c:ptCount val="2"/>
                <c:pt idx="0">
                  <c:v>Produktion</c:v>
                </c:pt>
                <c:pt idx="1">
                  <c:v>Forbrug</c:v>
                </c:pt>
              </c:strCache>
            </c:strRef>
          </c:cat>
          <c:val>
            <c:numRef>
              <c:f>Grafer!$C$1125:$D$1125</c:f>
              <c:numCache>
                <c:formatCode>#,##0</c:formatCode>
                <c:ptCount val="2"/>
                <c:pt idx="0">
                  <c:v>0</c:v>
                </c:pt>
              </c:numCache>
            </c:numRef>
          </c:val>
          <c:extLst>
            <c:ext xmlns:c16="http://schemas.microsoft.com/office/drawing/2014/chart" uri="{C3380CC4-5D6E-409C-BE32-E72D297353CC}">
              <c16:uniqueId val="{00000008-0FB2-4CD8-AB9B-B9707CDE787E}"/>
            </c:ext>
          </c:extLst>
        </c:ser>
        <c:ser>
          <c:idx val="5"/>
          <c:order val="9"/>
          <c:tx>
            <c:strRef>
              <c:f>Grafer!$B$1126</c:f>
              <c:strCache>
                <c:ptCount val="1"/>
                <c:pt idx="0">
                  <c:v>Overskudsvarme</c:v>
                </c:pt>
              </c:strCache>
            </c:strRef>
          </c:tx>
          <c:invertIfNegative val="0"/>
          <c:cat>
            <c:strRef>
              <c:f>Grafer!$C$1116:$D$1116</c:f>
              <c:strCache>
                <c:ptCount val="2"/>
                <c:pt idx="0">
                  <c:v>Produktion</c:v>
                </c:pt>
                <c:pt idx="1">
                  <c:v>Forbrug</c:v>
                </c:pt>
              </c:strCache>
            </c:strRef>
          </c:cat>
          <c:val>
            <c:numRef>
              <c:f>Grafer!$C$1126:$D$1126</c:f>
              <c:numCache>
                <c:formatCode>#,##0</c:formatCode>
                <c:ptCount val="2"/>
                <c:pt idx="0">
                  <c:v>0</c:v>
                </c:pt>
              </c:numCache>
            </c:numRef>
          </c:val>
          <c:extLst>
            <c:ext xmlns:c16="http://schemas.microsoft.com/office/drawing/2014/chart" uri="{C3380CC4-5D6E-409C-BE32-E72D297353CC}">
              <c16:uniqueId val="{00000009-0FB2-4CD8-AB9B-B9707CDE787E}"/>
            </c:ext>
          </c:extLst>
        </c:ser>
        <c:ser>
          <c:idx val="10"/>
          <c:order val="10"/>
          <c:tx>
            <c:strRef>
              <c:f>Grafer!$B$1127</c:f>
              <c:strCache>
                <c:ptCount val="1"/>
                <c:pt idx="0">
                  <c:v>Import fjernvarme</c:v>
                </c:pt>
              </c:strCache>
            </c:strRef>
          </c:tx>
          <c:spPr>
            <a:solidFill>
              <a:schemeClr val="accent6">
                <a:lumMod val="60000"/>
                <a:lumOff val="40000"/>
              </a:schemeClr>
            </a:solidFill>
          </c:spPr>
          <c:invertIfNegative val="0"/>
          <c:cat>
            <c:strRef>
              <c:f>Grafer!$C$1116:$D$1116</c:f>
              <c:strCache>
                <c:ptCount val="2"/>
                <c:pt idx="0">
                  <c:v>Produktion</c:v>
                </c:pt>
                <c:pt idx="1">
                  <c:v>Forbrug</c:v>
                </c:pt>
              </c:strCache>
            </c:strRef>
          </c:cat>
          <c:val>
            <c:numRef>
              <c:f>Grafer!$C$1127:$D$1127</c:f>
              <c:numCache>
                <c:formatCode>#,##0</c:formatCode>
                <c:ptCount val="2"/>
                <c:pt idx="0">
                  <c:v>0</c:v>
                </c:pt>
              </c:numCache>
            </c:numRef>
          </c:val>
          <c:extLst>
            <c:ext xmlns:c16="http://schemas.microsoft.com/office/drawing/2014/chart" uri="{C3380CC4-5D6E-409C-BE32-E72D297353CC}">
              <c16:uniqueId val="{0000000A-0FB2-4CD8-AB9B-B9707CDE787E}"/>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Grafer!$B$305</c:f>
              <c:strCache>
                <c:ptCount val="1"/>
                <c:pt idx="0">
                  <c:v>Individuel opvarmning</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Grafer!$C$305:$H$305</c:f>
              <c:numCache>
                <c:formatCode>#,##0</c:formatCode>
                <c:ptCount val="6"/>
                <c:pt idx="0">
                  <c:v>63.169999999999995</c:v>
                </c:pt>
                <c:pt idx="1">
                  <c:v>55.099200000000003</c:v>
                </c:pt>
                <c:pt idx="2">
                  <c:v>49.427999999999997</c:v>
                </c:pt>
                <c:pt idx="3">
                  <c:v>0</c:v>
                </c:pt>
                <c:pt idx="4">
                  <c:v>0</c:v>
                </c:pt>
                <c:pt idx="5">
                  <c:v>0</c:v>
                </c:pt>
              </c:numCache>
            </c:numRef>
          </c:val>
          <c:extLst>
            <c:ext xmlns:c16="http://schemas.microsoft.com/office/drawing/2014/chart" uri="{C3380CC4-5D6E-409C-BE32-E72D297353CC}">
              <c16:uniqueId val="{00000000-CE24-453D-BD2F-38885D8DB5CA}"/>
            </c:ext>
          </c:extLst>
        </c:ser>
        <c:ser>
          <c:idx val="1"/>
          <c:order val="1"/>
          <c:tx>
            <c:strRef>
              <c:f>Grafer!$B$306</c:f>
              <c:strCache>
                <c:ptCount val="1"/>
                <c:pt idx="0">
                  <c:v>Kollektiv el- og varmeforsyning</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Grafer!$C$306:$H$306</c:f>
              <c:numCache>
                <c:formatCode>#,##0</c:formatCode>
                <c:ptCount val="6"/>
                <c:pt idx="0">
                  <c:v>21.718</c:v>
                </c:pt>
                <c:pt idx="1">
                  <c:v>20.849279999999997</c:v>
                </c:pt>
                <c:pt idx="2">
                  <c:v>19.546199999999999</c:v>
                </c:pt>
                <c:pt idx="3">
                  <c:v>0</c:v>
                </c:pt>
                <c:pt idx="4">
                  <c:v>0</c:v>
                </c:pt>
                <c:pt idx="5">
                  <c:v>0</c:v>
                </c:pt>
              </c:numCache>
            </c:numRef>
          </c:val>
          <c:extLst>
            <c:ext xmlns:c16="http://schemas.microsoft.com/office/drawing/2014/chart" uri="{C3380CC4-5D6E-409C-BE32-E72D297353CC}">
              <c16:uniqueId val="{00000001-CE24-453D-BD2F-38885D8DB5CA}"/>
            </c:ext>
          </c:extLst>
        </c:ser>
        <c:ser>
          <c:idx val="2"/>
          <c:order val="2"/>
          <c:tx>
            <c:strRef>
              <c:f>Grafer!$B$307</c:f>
              <c:strCache>
                <c:ptCount val="1"/>
                <c:pt idx="0">
                  <c:v>Industri</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Grafer!$C$307:$H$307</c:f>
              <c:numCache>
                <c:formatCode>#,##0</c:formatCode>
                <c:ptCount val="6"/>
                <c:pt idx="0">
                  <c:v>10.89</c:v>
                </c:pt>
                <c:pt idx="1">
                  <c:v>10.89</c:v>
                </c:pt>
                <c:pt idx="2">
                  <c:v>10.89</c:v>
                </c:pt>
                <c:pt idx="3">
                  <c:v>0</c:v>
                </c:pt>
                <c:pt idx="4">
                  <c:v>0</c:v>
                </c:pt>
                <c:pt idx="5">
                  <c:v>0</c:v>
                </c:pt>
              </c:numCache>
            </c:numRef>
          </c:val>
          <c:extLst>
            <c:ext xmlns:c16="http://schemas.microsoft.com/office/drawing/2014/chart" uri="{C3380CC4-5D6E-409C-BE32-E72D297353CC}">
              <c16:uniqueId val="{00000002-CE24-453D-BD2F-38885D8DB5CA}"/>
            </c:ext>
          </c:extLst>
        </c:ser>
        <c:ser>
          <c:idx val="3"/>
          <c:order val="3"/>
          <c:tx>
            <c:strRef>
              <c:f>Grafer!$B$308</c:f>
              <c:strCache>
                <c:ptCount val="1"/>
                <c:pt idx="0">
                  <c:v>Transport</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Grafer!$C$308:$H$308</c:f>
              <c:numCache>
                <c:formatCode>#,##0</c:formatCode>
                <c:ptCount val="6"/>
                <c:pt idx="0">
                  <c:v>92.626000000000019</c:v>
                </c:pt>
                <c:pt idx="1">
                  <c:v>89.15444353800001</c:v>
                </c:pt>
                <c:pt idx="2">
                  <c:v>66.322825300000005</c:v>
                </c:pt>
                <c:pt idx="3">
                  <c:v>3.9024300000000003</c:v>
                </c:pt>
                <c:pt idx="4">
                  <c:v>3.7886675909999994</c:v>
                </c:pt>
                <c:pt idx="5">
                  <c:v>2.4618078109999999</c:v>
                </c:pt>
              </c:numCache>
            </c:numRef>
          </c:val>
          <c:extLst>
            <c:ext xmlns:c16="http://schemas.microsoft.com/office/drawing/2014/chart" uri="{C3380CC4-5D6E-409C-BE32-E72D297353CC}">
              <c16:uniqueId val="{00000003-CE24-453D-BD2F-38885D8DB5CA}"/>
            </c:ext>
          </c:extLst>
        </c:ser>
        <c:ser>
          <c:idx val="4"/>
          <c:order val="4"/>
          <c:tx>
            <c:strRef>
              <c:f>Grafer!$B$309</c:f>
              <c:strCache>
                <c:ptCount val="1"/>
                <c:pt idx="0">
                  <c:v>Vindkraft mm.</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Grafer!$C$309:$H$309</c:f>
              <c:numCache>
                <c:formatCode>#,##0</c:formatCode>
                <c:ptCount val="6"/>
                <c:pt idx="0">
                  <c:v>18.64</c:v>
                </c:pt>
                <c:pt idx="1">
                  <c:v>18.417355152000003</c:v>
                </c:pt>
                <c:pt idx="2">
                  <c:v>18.417355152000003</c:v>
                </c:pt>
                <c:pt idx="3">
                  <c:v>18.64</c:v>
                </c:pt>
                <c:pt idx="4">
                  <c:v>18.417355152000003</c:v>
                </c:pt>
                <c:pt idx="5">
                  <c:v>18.417355152000003</c:v>
                </c:pt>
              </c:numCache>
            </c:numRef>
          </c:val>
          <c:extLst>
            <c:ext xmlns:c16="http://schemas.microsoft.com/office/drawing/2014/chart" uri="{C3380CC4-5D6E-409C-BE32-E72D297353CC}">
              <c16:uniqueId val="{00000004-CE24-453D-BD2F-38885D8DB5CA}"/>
            </c:ext>
          </c:extLst>
        </c:ser>
        <c:ser>
          <c:idx val="5"/>
          <c:order val="5"/>
          <c:tx>
            <c:strRef>
              <c:f>Grafer!$B$310</c:f>
              <c:strCache>
                <c:ptCount val="1"/>
                <c:pt idx="0">
                  <c:v>El-import</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Grafer!$C$310:$H$310</c:f>
              <c:numCache>
                <c:formatCode>#,##0</c:formatCode>
                <c:ptCount val="6"/>
                <c:pt idx="0">
                  <c:v>36.492101701636436</c:v>
                </c:pt>
                <c:pt idx="1">
                  <c:v>44.480998126055781</c:v>
                </c:pt>
                <c:pt idx="2">
                  <c:v>54.220481603592688</c:v>
                </c:pt>
                <c:pt idx="3">
                  <c:v>16.056524748720033</c:v>
                </c:pt>
                <c:pt idx="4">
                  <c:v>44.480998126055781</c:v>
                </c:pt>
                <c:pt idx="5">
                  <c:v>54.220481603592688</c:v>
                </c:pt>
              </c:numCache>
            </c:numRef>
          </c:val>
          <c:extLst>
            <c:ext xmlns:c16="http://schemas.microsoft.com/office/drawing/2014/chart" uri="{C3380CC4-5D6E-409C-BE32-E72D297353CC}">
              <c16:uniqueId val="{00000005-CE24-453D-BD2F-38885D8DB5CA}"/>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Grafer!$B$1163</c:f>
              <c:strCache>
                <c:ptCount val="1"/>
                <c:pt idx="0">
                  <c:v>Forbrug</c:v>
                </c:pt>
              </c:strCache>
            </c:strRef>
          </c:tx>
          <c:invertIfNegative val="0"/>
          <c:cat>
            <c:strRef>
              <c:f>Grafer!$C$1162:$D$1162</c:f>
              <c:strCache>
                <c:ptCount val="2"/>
                <c:pt idx="0">
                  <c:v>Produktion</c:v>
                </c:pt>
                <c:pt idx="1">
                  <c:v>Forbrug</c:v>
                </c:pt>
              </c:strCache>
            </c:strRef>
          </c:cat>
          <c:val>
            <c:numRef>
              <c:f>Grafer!$C$1163:$D$1163</c:f>
              <c:numCache>
                <c:formatCode>#,##0</c:formatCode>
                <c:ptCount val="2"/>
                <c:pt idx="1">
                  <c:v>15.636959999999998</c:v>
                </c:pt>
              </c:numCache>
            </c:numRef>
          </c:val>
          <c:extLst>
            <c:ext xmlns:c16="http://schemas.microsoft.com/office/drawing/2014/chart" uri="{C3380CC4-5D6E-409C-BE32-E72D297353CC}">
              <c16:uniqueId val="{00000000-9C77-473D-94CF-B6A428B92838}"/>
            </c:ext>
          </c:extLst>
        </c:ser>
        <c:ser>
          <c:idx val="1"/>
          <c:order val="1"/>
          <c:tx>
            <c:strRef>
              <c:f>Grafer!$B$1164</c:f>
              <c:strCache>
                <c:ptCount val="1"/>
                <c:pt idx="0">
                  <c:v>Nettab</c:v>
                </c:pt>
              </c:strCache>
            </c:strRef>
          </c:tx>
          <c:spPr>
            <a:solidFill>
              <a:schemeClr val="accent5">
                <a:lumMod val="40000"/>
                <a:lumOff val="60000"/>
              </a:schemeClr>
            </a:solidFill>
          </c:spPr>
          <c:invertIfNegative val="0"/>
          <c:cat>
            <c:strRef>
              <c:f>Grafer!$C$1162:$D$1162</c:f>
              <c:strCache>
                <c:ptCount val="2"/>
                <c:pt idx="0">
                  <c:v>Produktion</c:v>
                </c:pt>
                <c:pt idx="1">
                  <c:v>Forbrug</c:v>
                </c:pt>
              </c:strCache>
            </c:strRef>
          </c:cat>
          <c:val>
            <c:numRef>
              <c:f>Grafer!$C$1164:$D$1164</c:f>
              <c:numCache>
                <c:formatCode>#,##0</c:formatCode>
                <c:ptCount val="2"/>
                <c:pt idx="1">
                  <c:v>5.2123200000000018</c:v>
                </c:pt>
              </c:numCache>
            </c:numRef>
          </c:val>
          <c:extLst>
            <c:ext xmlns:c16="http://schemas.microsoft.com/office/drawing/2014/chart" uri="{C3380CC4-5D6E-409C-BE32-E72D297353CC}">
              <c16:uniqueId val="{00000001-9C77-473D-94CF-B6A428B92838}"/>
            </c:ext>
          </c:extLst>
        </c:ser>
        <c:ser>
          <c:idx val="3"/>
          <c:order val="2"/>
          <c:tx>
            <c:strRef>
              <c:f>Grafer!$B$1165</c:f>
              <c:strCache>
                <c:ptCount val="1"/>
                <c:pt idx="0">
                  <c:v>Egetforbrug af varme, industri</c:v>
                </c:pt>
              </c:strCache>
            </c:strRef>
          </c:tx>
          <c:invertIfNegative val="0"/>
          <c:cat>
            <c:strRef>
              <c:f>Grafer!$C$1162:$D$1162</c:f>
              <c:strCache>
                <c:ptCount val="2"/>
                <c:pt idx="0">
                  <c:v>Produktion</c:v>
                </c:pt>
                <c:pt idx="1">
                  <c:v>Forbrug</c:v>
                </c:pt>
              </c:strCache>
            </c:strRef>
          </c:cat>
          <c:val>
            <c:numRef>
              <c:f>Grafer!$C$1165:$D$1165</c:f>
              <c:numCache>
                <c:formatCode>0</c:formatCode>
                <c:ptCount val="2"/>
                <c:pt idx="1">
                  <c:v>0</c:v>
                </c:pt>
              </c:numCache>
            </c:numRef>
          </c:val>
          <c:extLst>
            <c:ext xmlns:c16="http://schemas.microsoft.com/office/drawing/2014/chart" uri="{C3380CC4-5D6E-409C-BE32-E72D297353CC}">
              <c16:uniqueId val="{00000002-9C77-473D-94CF-B6A428B92838}"/>
            </c:ext>
          </c:extLst>
        </c:ser>
        <c:ser>
          <c:idx val="0"/>
          <c:order val="3"/>
          <c:tx>
            <c:strRef>
              <c:f>Grafer!$B$1166</c:f>
              <c:strCache>
                <c:ptCount val="1"/>
              </c:strCache>
            </c:strRef>
          </c:tx>
          <c:spPr>
            <a:solidFill>
              <a:schemeClr val="bg1"/>
            </a:solidFill>
          </c:spPr>
          <c:invertIfNegative val="0"/>
          <c:cat>
            <c:strRef>
              <c:f>Grafer!$C$1162:$D$1162</c:f>
              <c:strCache>
                <c:ptCount val="2"/>
                <c:pt idx="0">
                  <c:v>Produktion</c:v>
                </c:pt>
                <c:pt idx="1">
                  <c:v>Forbrug</c:v>
                </c:pt>
              </c:strCache>
            </c:strRef>
          </c:cat>
          <c:val>
            <c:numRef>
              <c:f>Grafer!$C$1166:$D$1166</c:f>
              <c:numCache>
                <c:formatCode>#,##0</c:formatCode>
                <c:ptCount val="2"/>
              </c:numCache>
            </c:numRef>
          </c:val>
          <c:extLst>
            <c:ext xmlns:c16="http://schemas.microsoft.com/office/drawing/2014/chart" uri="{C3380CC4-5D6E-409C-BE32-E72D297353CC}">
              <c16:uniqueId val="{00000003-9C77-473D-94CF-B6A428B92838}"/>
            </c:ext>
          </c:extLst>
        </c:ser>
        <c:ser>
          <c:idx val="2"/>
          <c:order val="4"/>
          <c:tx>
            <c:strRef>
              <c:f>Grafer!$B$1167</c:f>
              <c:strCache>
                <c:ptCount val="1"/>
                <c:pt idx="0">
                  <c:v>Brændselsolie/diesel</c:v>
                </c:pt>
              </c:strCache>
            </c:strRef>
          </c:tx>
          <c:invertIfNegative val="0"/>
          <c:cat>
            <c:strRef>
              <c:f>Grafer!$C$1162:$D$1162</c:f>
              <c:strCache>
                <c:ptCount val="2"/>
                <c:pt idx="0">
                  <c:v>Produktion</c:v>
                </c:pt>
                <c:pt idx="1">
                  <c:v>Forbrug</c:v>
                </c:pt>
              </c:strCache>
            </c:strRef>
          </c:cat>
          <c:val>
            <c:numRef>
              <c:f>Grafer!$C$1167:$D$1167</c:f>
              <c:numCache>
                <c:formatCode>#,##0</c:formatCode>
                <c:ptCount val="2"/>
                <c:pt idx="0">
                  <c:v>0.47808</c:v>
                </c:pt>
              </c:numCache>
            </c:numRef>
          </c:val>
          <c:extLst>
            <c:ext xmlns:c16="http://schemas.microsoft.com/office/drawing/2014/chart" uri="{C3380CC4-5D6E-409C-BE32-E72D297353CC}">
              <c16:uniqueId val="{00000004-9C77-473D-94CF-B6A428B92838}"/>
            </c:ext>
          </c:extLst>
        </c:ser>
        <c:ser>
          <c:idx val="4"/>
          <c:order val="5"/>
          <c:tx>
            <c:strRef>
              <c:f>Grafer!$B$1168</c:f>
              <c:strCache>
                <c:ptCount val="1"/>
                <c:pt idx="0">
                  <c:v>Kul</c:v>
                </c:pt>
              </c:strCache>
            </c:strRef>
          </c:tx>
          <c:invertIfNegative val="0"/>
          <c:cat>
            <c:strRef>
              <c:f>Grafer!$C$1162:$D$1162</c:f>
              <c:strCache>
                <c:ptCount val="2"/>
                <c:pt idx="0">
                  <c:v>Produktion</c:v>
                </c:pt>
                <c:pt idx="1">
                  <c:v>Forbrug</c:v>
                </c:pt>
              </c:strCache>
            </c:strRef>
          </c:cat>
          <c:val>
            <c:numRef>
              <c:f>Grafer!$C$1168:$D$1168</c:f>
              <c:numCache>
                <c:formatCode>#,##0</c:formatCode>
                <c:ptCount val="2"/>
                <c:pt idx="0">
                  <c:v>0</c:v>
                </c:pt>
              </c:numCache>
            </c:numRef>
          </c:val>
          <c:extLst>
            <c:ext xmlns:c16="http://schemas.microsoft.com/office/drawing/2014/chart" uri="{C3380CC4-5D6E-409C-BE32-E72D297353CC}">
              <c16:uniqueId val="{00000005-9C77-473D-94CF-B6A428B92838}"/>
            </c:ext>
          </c:extLst>
        </c:ser>
        <c:ser>
          <c:idx val="14"/>
          <c:order val="6"/>
          <c:tx>
            <c:strRef>
              <c:f>Grafer!$B$1169</c:f>
              <c:strCache>
                <c:ptCount val="1"/>
                <c:pt idx="0">
                  <c:v>Fuelolie</c:v>
                </c:pt>
              </c:strCache>
            </c:strRef>
          </c:tx>
          <c:spPr>
            <a:solidFill>
              <a:schemeClr val="accent6">
                <a:lumMod val="75000"/>
              </a:schemeClr>
            </a:solidFill>
          </c:spPr>
          <c:invertIfNegative val="0"/>
          <c:cat>
            <c:strRef>
              <c:f>Grafer!$C$1162:$D$1162</c:f>
              <c:strCache>
                <c:ptCount val="2"/>
                <c:pt idx="0">
                  <c:v>Produktion</c:v>
                </c:pt>
                <c:pt idx="1">
                  <c:v>Forbrug</c:v>
                </c:pt>
              </c:strCache>
            </c:strRef>
          </c:cat>
          <c:val>
            <c:numRef>
              <c:f>Grafer!$C$1169:$D$1169</c:f>
              <c:numCache>
                <c:formatCode>#,##0</c:formatCode>
                <c:ptCount val="2"/>
                <c:pt idx="0">
                  <c:v>0</c:v>
                </c:pt>
              </c:numCache>
            </c:numRef>
          </c:val>
          <c:extLst>
            <c:ext xmlns:c16="http://schemas.microsoft.com/office/drawing/2014/chart" uri="{C3380CC4-5D6E-409C-BE32-E72D297353CC}">
              <c16:uniqueId val="{00000006-9C77-473D-94CF-B6A428B92838}"/>
            </c:ext>
          </c:extLst>
        </c:ser>
        <c:ser>
          <c:idx val="13"/>
          <c:order val="7"/>
          <c:tx>
            <c:strRef>
              <c:f>Grafer!$B$1170</c:f>
              <c:strCache>
                <c:ptCount val="1"/>
                <c:pt idx="0">
                  <c:v>Naturgas</c:v>
                </c:pt>
              </c:strCache>
            </c:strRef>
          </c:tx>
          <c:spPr>
            <a:solidFill>
              <a:schemeClr val="accent4">
                <a:lumMod val="75000"/>
              </a:schemeClr>
            </a:solidFill>
          </c:spPr>
          <c:invertIfNegative val="0"/>
          <c:cat>
            <c:strRef>
              <c:f>Grafer!$C$1162:$D$1162</c:f>
              <c:strCache>
                <c:ptCount val="2"/>
                <c:pt idx="0">
                  <c:v>Produktion</c:v>
                </c:pt>
                <c:pt idx="1">
                  <c:v>Forbrug</c:v>
                </c:pt>
              </c:strCache>
            </c:strRef>
          </c:cat>
          <c:val>
            <c:numRef>
              <c:f>Grafer!$C$1170:$D$1170</c:f>
              <c:numCache>
                <c:formatCode>#,##0</c:formatCode>
                <c:ptCount val="2"/>
                <c:pt idx="0">
                  <c:v>0</c:v>
                </c:pt>
              </c:numCache>
            </c:numRef>
          </c:val>
          <c:extLst>
            <c:ext xmlns:c16="http://schemas.microsoft.com/office/drawing/2014/chart" uri="{C3380CC4-5D6E-409C-BE32-E72D297353CC}">
              <c16:uniqueId val="{00000007-9C77-473D-94CF-B6A428B92838}"/>
            </c:ext>
          </c:extLst>
        </c:ser>
        <c:ser>
          <c:idx val="7"/>
          <c:order val="8"/>
          <c:tx>
            <c:strRef>
              <c:f>Grafer!$B$1171</c:f>
              <c:strCache>
                <c:ptCount val="1"/>
                <c:pt idx="0">
                  <c:v>Affald, ikke bionedbrydeligt</c:v>
                </c:pt>
              </c:strCache>
            </c:strRef>
          </c:tx>
          <c:invertIfNegative val="0"/>
          <c:cat>
            <c:strRef>
              <c:f>Grafer!$C$1162:$D$1162</c:f>
              <c:strCache>
                <c:ptCount val="2"/>
                <c:pt idx="0">
                  <c:v>Produktion</c:v>
                </c:pt>
                <c:pt idx="1">
                  <c:v>Forbrug</c:v>
                </c:pt>
              </c:strCache>
            </c:strRef>
          </c:cat>
          <c:val>
            <c:numRef>
              <c:f>Grafer!$C$1171:$D$1171</c:f>
              <c:numCache>
                <c:formatCode>#,##0</c:formatCode>
                <c:ptCount val="2"/>
                <c:pt idx="0">
                  <c:v>0</c:v>
                </c:pt>
              </c:numCache>
            </c:numRef>
          </c:val>
          <c:extLst>
            <c:ext xmlns:c16="http://schemas.microsoft.com/office/drawing/2014/chart" uri="{C3380CC4-5D6E-409C-BE32-E72D297353CC}">
              <c16:uniqueId val="{00000008-9C77-473D-94CF-B6A428B92838}"/>
            </c:ext>
          </c:extLst>
        </c:ser>
        <c:ser>
          <c:idx val="8"/>
          <c:order val="9"/>
          <c:tx>
            <c:strRef>
              <c:f>Grafer!$B$1172</c:f>
              <c:strCache>
                <c:ptCount val="1"/>
                <c:pt idx="0">
                  <c:v>Affald, bionedbrydeligt</c:v>
                </c:pt>
              </c:strCache>
            </c:strRef>
          </c:tx>
          <c:invertIfNegative val="0"/>
          <c:cat>
            <c:strRef>
              <c:f>Grafer!$C$1162:$D$1162</c:f>
              <c:strCache>
                <c:ptCount val="2"/>
                <c:pt idx="0">
                  <c:v>Produktion</c:v>
                </c:pt>
                <c:pt idx="1">
                  <c:v>Forbrug</c:v>
                </c:pt>
              </c:strCache>
            </c:strRef>
          </c:cat>
          <c:val>
            <c:numRef>
              <c:f>Grafer!$C$1172:$D$1172</c:f>
              <c:numCache>
                <c:formatCode>#,##0</c:formatCode>
                <c:ptCount val="2"/>
                <c:pt idx="0">
                  <c:v>0</c:v>
                </c:pt>
              </c:numCache>
            </c:numRef>
          </c:val>
          <c:extLst>
            <c:ext xmlns:c16="http://schemas.microsoft.com/office/drawing/2014/chart" uri="{C3380CC4-5D6E-409C-BE32-E72D297353CC}">
              <c16:uniqueId val="{00000009-9C77-473D-94CF-B6A428B92838}"/>
            </c:ext>
          </c:extLst>
        </c:ser>
        <c:ser>
          <c:idx val="10"/>
          <c:order val="10"/>
          <c:tx>
            <c:strRef>
              <c:f>Grafer!$B$1173</c:f>
              <c:strCache>
                <c:ptCount val="1"/>
                <c:pt idx="0">
                  <c:v>Biomasse</c:v>
                </c:pt>
              </c:strCache>
            </c:strRef>
          </c:tx>
          <c:invertIfNegative val="0"/>
          <c:cat>
            <c:strRef>
              <c:f>Grafer!$C$1162:$D$1162</c:f>
              <c:strCache>
                <c:ptCount val="2"/>
                <c:pt idx="0">
                  <c:v>Produktion</c:v>
                </c:pt>
                <c:pt idx="1">
                  <c:v>Forbrug</c:v>
                </c:pt>
              </c:strCache>
            </c:strRef>
          </c:cat>
          <c:val>
            <c:numRef>
              <c:f>Grafer!$C$1173:$D$1173</c:f>
              <c:numCache>
                <c:formatCode>#,##0</c:formatCode>
                <c:ptCount val="2"/>
                <c:pt idx="0">
                  <c:v>20.371199999999998</c:v>
                </c:pt>
              </c:numCache>
            </c:numRef>
          </c:val>
          <c:extLst>
            <c:ext xmlns:c16="http://schemas.microsoft.com/office/drawing/2014/chart" uri="{C3380CC4-5D6E-409C-BE32-E72D297353CC}">
              <c16:uniqueId val="{0000000A-9C77-473D-94CF-B6A428B92838}"/>
            </c:ext>
          </c:extLst>
        </c:ser>
        <c:ser>
          <c:idx val="9"/>
          <c:order val="11"/>
          <c:tx>
            <c:strRef>
              <c:f>Grafer!$B$1174</c:f>
              <c:strCache>
                <c:ptCount val="1"/>
                <c:pt idx="0">
                  <c:v>El (varmepumper, elpatroner)</c:v>
                </c:pt>
              </c:strCache>
            </c:strRef>
          </c:tx>
          <c:invertIfNegative val="0"/>
          <c:cat>
            <c:strRef>
              <c:f>Grafer!$C$1162:$D$1162</c:f>
              <c:strCache>
                <c:ptCount val="2"/>
                <c:pt idx="0">
                  <c:v>Produktion</c:v>
                </c:pt>
                <c:pt idx="1">
                  <c:v>Forbrug</c:v>
                </c:pt>
              </c:strCache>
            </c:strRef>
          </c:cat>
          <c:val>
            <c:numRef>
              <c:f>Grafer!$C$1174:$D$1174</c:f>
              <c:numCache>
                <c:formatCode>#,##0</c:formatCode>
                <c:ptCount val="2"/>
                <c:pt idx="0">
                  <c:v>0</c:v>
                </c:pt>
              </c:numCache>
            </c:numRef>
          </c:val>
          <c:extLst>
            <c:ext xmlns:c16="http://schemas.microsoft.com/office/drawing/2014/chart" uri="{C3380CC4-5D6E-409C-BE32-E72D297353CC}">
              <c16:uniqueId val="{0000000B-9C77-473D-94CF-B6A428B92838}"/>
            </c:ext>
          </c:extLst>
        </c:ser>
        <c:ser>
          <c:idx val="11"/>
          <c:order val="12"/>
          <c:tx>
            <c:strRef>
              <c:f>Grafer!$B$1175</c:f>
              <c:strCache>
                <c:ptCount val="1"/>
                <c:pt idx="0">
                  <c:v>Biogas</c:v>
                </c:pt>
              </c:strCache>
            </c:strRef>
          </c:tx>
          <c:invertIfNegative val="0"/>
          <c:cat>
            <c:strRef>
              <c:f>Grafer!$C$1162:$D$1162</c:f>
              <c:strCache>
                <c:ptCount val="2"/>
                <c:pt idx="0">
                  <c:v>Produktion</c:v>
                </c:pt>
                <c:pt idx="1">
                  <c:v>Forbrug</c:v>
                </c:pt>
              </c:strCache>
            </c:strRef>
          </c:cat>
          <c:val>
            <c:numRef>
              <c:f>Grafer!$C$1175:$D$1175</c:f>
              <c:numCache>
                <c:formatCode>#,##0</c:formatCode>
                <c:ptCount val="2"/>
                <c:pt idx="0">
                  <c:v>0</c:v>
                </c:pt>
              </c:numCache>
            </c:numRef>
          </c:val>
          <c:extLst>
            <c:ext xmlns:c16="http://schemas.microsoft.com/office/drawing/2014/chart" uri="{C3380CC4-5D6E-409C-BE32-E72D297353CC}">
              <c16:uniqueId val="{0000000C-9C77-473D-94CF-B6A428B92838}"/>
            </c:ext>
          </c:extLst>
        </c:ser>
        <c:ser>
          <c:idx val="12"/>
          <c:order val="13"/>
          <c:tx>
            <c:strRef>
              <c:f>Grafer!$B$1176</c:f>
              <c:strCache>
                <c:ptCount val="1"/>
                <c:pt idx="0">
                  <c:v>Solenergi</c:v>
                </c:pt>
              </c:strCache>
            </c:strRef>
          </c:tx>
          <c:invertIfNegative val="0"/>
          <c:cat>
            <c:strRef>
              <c:f>Grafer!$C$1162:$D$1162</c:f>
              <c:strCache>
                <c:ptCount val="2"/>
                <c:pt idx="0">
                  <c:v>Produktion</c:v>
                </c:pt>
                <c:pt idx="1">
                  <c:v>Forbrug</c:v>
                </c:pt>
              </c:strCache>
            </c:strRef>
          </c:cat>
          <c:val>
            <c:numRef>
              <c:f>Grafer!$C$1176:$D$1176</c:f>
              <c:numCache>
                <c:formatCode>#,##0</c:formatCode>
                <c:ptCount val="2"/>
                <c:pt idx="0">
                  <c:v>0</c:v>
                </c:pt>
              </c:numCache>
            </c:numRef>
          </c:val>
          <c:extLst>
            <c:ext xmlns:c16="http://schemas.microsoft.com/office/drawing/2014/chart" uri="{C3380CC4-5D6E-409C-BE32-E72D297353CC}">
              <c16:uniqueId val="{0000000D-9C77-473D-94CF-B6A428B92838}"/>
            </c:ext>
          </c:extLst>
        </c:ser>
        <c:ser>
          <c:idx val="5"/>
          <c:order val="14"/>
          <c:tx>
            <c:strRef>
              <c:f>Grafer!$B$1177</c:f>
              <c:strCache>
                <c:ptCount val="1"/>
                <c:pt idx="0">
                  <c:v>Geotermi</c:v>
                </c:pt>
              </c:strCache>
            </c:strRef>
          </c:tx>
          <c:spPr>
            <a:solidFill>
              <a:schemeClr val="bg2">
                <a:lumMod val="50000"/>
              </a:schemeClr>
            </a:solidFill>
          </c:spPr>
          <c:invertIfNegative val="0"/>
          <c:cat>
            <c:strRef>
              <c:f>Grafer!$C$1162:$D$1162</c:f>
              <c:strCache>
                <c:ptCount val="2"/>
                <c:pt idx="0">
                  <c:v>Produktion</c:v>
                </c:pt>
                <c:pt idx="1">
                  <c:v>Forbrug</c:v>
                </c:pt>
              </c:strCache>
            </c:strRef>
          </c:cat>
          <c:val>
            <c:numRef>
              <c:f>Grafer!$C$1177:$D$1177</c:f>
              <c:numCache>
                <c:formatCode>#,##0</c:formatCode>
                <c:ptCount val="2"/>
                <c:pt idx="0">
                  <c:v>0</c:v>
                </c:pt>
              </c:numCache>
            </c:numRef>
          </c:val>
          <c:extLst>
            <c:ext xmlns:c16="http://schemas.microsoft.com/office/drawing/2014/chart" uri="{C3380CC4-5D6E-409C-BE32-E72D297353CC}">
              <c16:uniqueId val="{0000000E-9C77-473D-94CF-B6A428B92838}"/>
            </c:ext>
          </c:extLst>
        </c:ser>
        <c:ser>
          <c:idx val="15"/>
          <c:order val="15"/>
          <c:tx>
            <c:strRef>
              <c:f>Grafer!$B$1178</c:f>
              <c:strCache>
                <c:ptCount val="1"/>
                <c:pt idx="0">
                  <c:v>Overskudsvarme</c:v>
                </c:pt>
              </c:strCache>
            </c:strRef>
          </c:tx>
          <c:spPr>
            <a:solidFill>
              <a:schemeClr val="accent6">
                <a:lumMod val="60000"/>
                <a:lumOff val="40000"/>
              </a:schemeClr>
            </a:solidFill>
          </c:spPr>
          <c:invertIfNegative val="0"/>
          <c:cat>
            <c:strRef>
              <c:f>Grafer!$C$1162:$D$1162</c:f>
              <c:strCache>
                <c:ptCount val="2"/>
                <c:pt idx="0">
                  <c:v>Produktion</c:v>
                </c:pt>
                <c:pt idx="1">
                  <c:v>Forbrug</c:v>
                </c:pt>
              </c:strCache>
            </c:strRef>
          </c:cat>
          <c:val>
            <c:numRef>
              <c:f>Grafer!$C$1178:$D$1178</c:f>
              <c:numCache>
                <c:formatCode>#,##0</c:formatCode>
                <c:ptCount val="2"/>
                <c:pt idx="0">
                  <c:v>0</c:v>
                </c:pt>
              </c:numCache>
            </c:numRef>
          </c:val>
          <c:extLst>
            <c:ext xmlns:c16="http://schemas.microsoft.com/office/drawing/2014/chart" uri="{C3380CC4-5D6E-409C-BE32-E72D297353CC}">
              <c16:uniqueId val="{0000000F-9C77-473D-94CF-B6A428B92838}"/>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Grafer!$C$643:$H$643</c15:sqref>
                  </c15:fullRef>
                </c:ext>
              </c:extLst>
              <c:f>(Grafer!$C$643,Grafer!$E$643,Grafer!$H$643)</c:f>
              <c:numCache>
                <c:formatCode>#,##0</c:formatCode>
                <c:ptCount val="3"/>
                <c:pt idx="0">
                  <c:v>1.8314999999999999</c:v>
                </c:pt>
                <c:pt idx="1">
                  <c:v>0</c:v>
                </c:pt>
              </c:numCache>
            </c:numRef>
          </c:val>
          <c:extLst>
            <c:ext xmlns:c16="http://schemas.microsoft.com/office/drawing/2014/chart" uri="{C3380CC4-5D6E-409C-BE32-E72D297353CC}">
              <c16:uniqueId val="{00000000-379F-47CC-BE35-1BF455BBF83A}"/>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Grafer!$C$644:$H$644</c15:sqref>
                  </c15:fullRef>
                </c:ext>
              </c:extLst>
              <c:f>(Grafer!$C$644,Grafer!$E$644,Grafer!$H$644)</c:f>
              <c:numCache>
                <c:formatCode>#,##0</c:formatCode>
                <c:ptCount val="3"/>
                <c:pt idx="0">
                  <c:v>3.6851999999999996E-2</c:v>
                </c:pt>
                <c:pt idx="1">
                  <c:v>3.3166800000000003E-2</c:v>
                </c:pt>
              </c:numCache>
            </c:numRef>
          </c:val>
          <c:extLst>
            <c:ext xmlns:c16="http://schemas.microsoft.com/office/drawing/2014/chart" uri="{C3380CC4-5D6E-409C-BE32-E72D297353CC}">
              <c16:uniqueId val="{00000001-379F-47CC-BE35-1BF455BBF83A}"/>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Grafer!$C$645:$H$645</c15:sqref>
                  </c15:fullRef>
                </c:ext>
              </c:extLst>
              <c:f>(Grafer!$C$645,Grafer!$E$645,Grafer!$H$645)</c:f>
              <c:numCache>
                <c:formatCode>#,##0</c:formatCode>
                <c:ptCount val="3"/>
                <c:pt idx="0">
                  <c:v>5.6159000000000001E-2</c:v>
                </c:pt>
                <c:pt idx="1">
                  <c:v>5.6159000000000001E-2</c:v>
                </c:pt>
              </c:numCache>
            </c:numRef>
          </c:val>
          <c:extLst>
            <c:ext xmlns:c16="http://schemas.microsoft.com/office/drawing/2014/chart" uri="{C3380CC4-5D6E-409C-BE32-E72D297353CC}">
              <c16:uniqueId val="{00000002-379F-47CC-BE35-1BF455BBF83A}"/>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Grafer!$C$646:$H$646</c15:sqref>
                  </c15:fullRef>
                </c:ext>
              </c:extLst>
              <c:f>(Grafer!$C$646,Grafer!$E$646,Grafer!$H$646)</c:f>
              <c:numCache>
                <c:formatCode>#,##0</c:formatCode>
                <c:ptCount val="3"/>
                <c:pt idx="0">
                  <c:v>6.5195312800000007</c:v>
                </c:pt>
                <c:pt idx="1">
                  <c:v>4.68929102255</c:v>
                </c:pt>
              </c:numCache>
            </c:numRef>
          </c:val>
          <c:extLst>
            <c:ext xmlns:c16="http://schemas.microsoft.com/office/drawing/2014/chart" uri="{C3380CC4-5D6E-409C-BE32-E72D297353CC}">
              <c16:uniqueId val="{00000003-379F-47CC-BE35-1BF455BBF83A}"/>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Grafer!$C$647:$H$647</c15:sqref>
                  </c15:fullRef>
                </c:ext>
              </c:extLst>
              <c:f>(Grafer!$C$647,Grafer!$E$647,Grafer!$H$647)</c:f>
              <c:numCache>
                <c:formatCode>#,##0</c:formatCode>
                <c:ptCount val="3"/>
              </c:numCache>
            </c:numRef>
          </c:val>
          <c:extLst>
            <c:ext xmlns:c16="http://schemas.microsoft.com/office/drawing/2014/chart" uri="{C3380CC4-5D6E-409C-BE32-E72D297353CC}">
              <c16:uniqueId val="{00000004-379F-47CC-BE35-1BF455BBF83A}"/>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Grafer!$C$648:$H$648</c15:sqref>
                  </c15:fullRef>
                </c:ext>
              </c:extLst>
              <c:f>(Grafer!$C$648,Grafer!$E$648,Grafer!$H$648)</c:f>
              <c:numCache>
                <c:formatCode>#,##0</c:formatCode>
                <c:ptCount val="3"/>
                <c:pt idx="0">
                  <c:v>4.5293996632071147</c:v>
                </c:pt>
                <c:pt idx="1">
                  <c:v>0</c:v>
                </c:pt>
              </c:numCache>
            </c:numRef>
          </c:val>
          <c:extLst>
            <c:ext xmlns:c16="http://schemas.microsoft.com/office/drawing/2014/chart" uri="{C3380CC4-5D6E-409C-BE32-E72D297353CC}">
              <c16:uniqueId val="{00000005-379F-47CC-BE35-1BF455BBF83A}"/>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10"/>
          <c:order val="9"/>
          <c:tx>
            <c:strRef>
              <c:f>Grafer!$B$112</c:f>
              <c:strCache>
                <c:ptCount val="1"/>
                <c:pt idx="0">
                  <c:v>Vindenergi</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Grafer!$C$112:$H$112</c15:sqref>
                  </c15:fullRef>
                </c:ext>
              </c:extLst>
              <c:f>(Grafer!$C$112:$D$112,Grafer!$F$112:$G$112)</c:f>
              <c:numCache>
                <c:formatCode>#,##0</c:formatCode>
                <c:ptCount val="4"/>
                <c:pt idx="0">
                  <c:v>0.5</c:v>
                </c:pt>
                <c:pt idx="1">
                  <c:v>-6.9644848000000037E-2</c:v>
                </c:pt>
              </c:numCache>
            </c:numRef>
          </c:val>
          <c:extLst>
            <c:ext xmlns:c16="http://schemas.microsoft.com/office/drawing/2014/chart" uri="{C3380CC4-5D6E-409C-BE32-E72D297353CC}">
              <c16:uniqueId val="{00000000-19CE-48CC-8C8A-CEFA1695566B}"/>
            </c:ext>
          </c:extLst>
        </c:ser>
        <c:ser>
          <c:idx val="12"/>
          <c:order val="11"/>
          <c:tx>
            <c:strRef>
              <c:f>Grafer!$B$114</c:f>
              <c:strCache>
                <c:ptCount val="1"/>
                <c:pt idx="0">
                  <c:v>Solenergi</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Grafer!$C$114:$H$114</c15:sqref>
                  </c15:fullRef>
                </c:ext>
              </c:extLst>
              <c:f>(Grafer!$C$114:$D$114,Grafer!$F$114:$G$114)</c:f>
              <c:numCache>
                <c:formatCode>#,##0</c:formatCode>
                <c:ptCount val="4"/>
                <c:pt idx="0">
                  <c:v>19.05</c:v>
                </c:pt>
                <c:pt idx="1">
                  <c:v>19.0136</c:v>
                </c:pt>
              </c:numCache>
            </c:numRef>
          </c:val>
          <c:extLst>
            <c:ext xmlns:c16="http://schemas.microsoft.com/office/drawing/2014/chart" uri="{C3380CC4-5D6E-409C-BE32-E72D297353CC}">
              <c16:uniqueId val="{00000001-19CE-48CC-8C8A-CEFA1695566B}"/>
            </c:ext>
          </c:extLst>
        </c:ser>
        <c:ser>
          <c:idx val="13"/>
          <c:order val="13"/>
          <c:tx>
            <c:strRef>
              <c:f>Grafer!$B$116</c:f>
              <c:strCache>
                <c:ptCount val="1"/>
                <c:pt idx="0">
                  <c:v>Elimport (VE-baseret)</c:v>
                </c:pt>
              </c:strCache>
            </c:strRef>
          </c:tx>
          <c:spPr>
            <a:solidFill>
              <a:srgbClr val="C6D6AC"/>
            </a:solidFill>
          </c:spPr>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Grafer!$C$116:$H$116</c15:sqref>
                  </c15:fullRef>
                </c:ext>
              </c:extLst>
              <c:f>(Grafer!$C$116:$D$116,Grafer!$F$116:$G$116)</c:f>
              <c:numCache>
                <c:formatCode>#,##0</c:formatCode>
                <c:ptCount val="4"/>
                <c:pt idx="0">
                  <c:v>16.056524748720033</c:v>
                </c:pt>
                <c:pt idx="1">
                  <c:v>44.480998126055781</c:v>
                </c:pt>
              </c:numCache>
            </c:numRef>
          </c:val>
          <c:extLst>
            <c:ext xmlns:c16="http://schemas.microsoft.com/office/drawing/2014/chart" uri="{C3380CC4-5D6E-409C-BE32-E72D297353CC}">
              <c16:uniqueId val="{00000002-19CE-48CC-8C8A-CEFA1695566B}"/>
            </c:ext>
          </c:extLst>
        </c:ser>
        <c:ser>
          <c:idx val="1"/>
          <c:order val="14"/>
          <c:tx>
            <c:strRef>
              <c:f>Grafer!$B$102</c:f>
              <c:strCache>
                <c:ptCount val="1"/>
                <c:pt idx="0">
                  <c:v>Elimport (fossilbaseret)</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Grafer!$C$102:$H$102</c15:sqref>
                  </c15:fullRef>
                </c:ext>
              </c:extLst>
              <c:f>(Grafer!$C$102:$D$102,Grafer!$F$102:$G$102)</c:f>
              <c:numCache>
                <c:formatCode>#,##0</c:formatCode>
                <c:ptCount val="4"/>
                <c:pt idx="0">
                  <c:v>20.435576952916406</c:v>
                </c:pt>
                <c:pt idx="1">
                  <c:v>0</c:v>
                </c:pt>
              </c:numCache>
            </c:numRef>
          </c:val>
          <c:extLst>
            <c:ext xmlns:c16="http://schemas.microsoft.com/office/drawing/2014/chart" uri="{C3380CC4-5D6E-409C-BE32-E72D297353CC}">
              <c16:uniqueId val="{00000003-19CE-48CC-8C8A-CEFA1695566B}"/>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2"/>
                <c:order val="0"/>
                <c:tx>
                  <c:strRef>
                    <c:extLst>
                      <c:ext uri="{02D57815-91ED-43cb-92C2-25804820EDAC}">
                        <c15:formulaRef>
                          <c15:sqref>Grafer!$B$103</c15:sqref>
                        </c15:formulaRef>
                      </c:ext>
                    </c:extLst>
                    <c:strCache>
                      <c:ptCount val="1"/>
                      <c:pt idx="0">
                        <c:v>Kul</c:v>
                      </c:pt>
                    </c:strCache>
                  </c:strRef>
                </c:tx>
                <c:invertIfNegative val="0"/>
                <c:cat>
                  <c:strRef>
                    <c:extLst>
                      <c:ex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uri="{02D57815-91ED-43cb-92C2-25804820EDAC}">
                        <c15:fullRef>
                          <c15:sqref>Grafer!$C$103:$H$103</c15:sqref>
                        </c15:fullRef>
                        <c15:formulaRef>
                          <c15:sqref>(Grafer!$C$103:$D$103,Grafer!$F$103:$G$103)</c15:sqref>
                        </c15:formulaRef>
                      </c:ext>
                    </c:extLst>
                    <c:numCache>
                      <c:formatCode>#,##0</c:formatCode>
                      <c:ptCount val="4"/>
                      <c:pt idx="0">
                        <c:v>0</c:v>
                      </c:pt>
                      <c:pt idx="1">
                        <c:v>0</c:v>
                      </c:pt>
                    </c:numCache>
                  </c:numRef>
                </c:val>
                <c:extLst>
                  <c:ext xmlns:c16="http://schemas.microsoft.com/office/drawing/2014/chart" uri="{C3380CC4-5D6E-409C-BE32-E72D297353CC}">
                    <c16:uniqueId val="{00000004-19CE-48CC-8C8A-CEFA1695566B}"/>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Grafer!$B$104</c15:sqref>
                        </c15:formulaRef>
                      </c:ext>
                    </c:extLst>
                    <c:strCache>
                      <c:ptCount val="1"/>
                      <c:pt idx="0">
                        <c:v>Naturgas og LPG</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Grafer!$C$104:$H$104</c15:sqref>
                        </c15:fullRef>
                        <c15:formulaRef>
                          <c15:sqref>(Grafer!$C$104:$D$104,Grafer!$F$104:$G$104)</c15:sqref>
                        </c15:formulaRef>
                      </c:ext>
                    </c:extLst>
                    <c:numCache>
                      <c:formatCode>#,##0</c:formatCode>
                      <c:ptCount val="4"/>
                      <c:pt idx="0">
                        <c:v>0.89</c:v>
                      </c:pt>
                      <c:pt idx="1">
                        <c:v>0.89</c:v>
                      </c:pt>
                    </c:numCache>
                  </c:numRef>
                </c:val>
                <c:extLst xmlns:c15="http://schemas.microsoft.com/office/drawing/2012/chart">
                  <c:ext xmlns:c16="http://schemas.microsoft.com/office/drawing/2014/chart" uri="{C3380CC4-5D6E-409C-BE32-E72D297353CC}">
                    <c16:uniqueId val="{00000005-19CE-48CC-8C8A-CEFA1695566B}"/>
                  </c:ext>
                </c:extLst>
              </c15:ser>
            </c15:filteredBarSeries>
            <c15:filteredBarSeries>
              <c15:ser>
                <c:idx val="4"/>
                <c:order val="2"/>
                <c:tx>
                  <c:strRef>
                    <c:extLst xmlns:c15="http://schemas.microsoft.com/office/drawing/2012/chart">
                      <c:ext xmlns:c15="http://schemas.microsoft.com/office/drawing/2012/chart" uri="{02D57815-91ED-43cb-92C2-25804820EDAC}">
                        <c15:formulaRef>
                          <c15:sqref>Grafer!$B$105</c15:sqref>
                        </c15:formulaRef>
                      </c:ext>
                    </c:extLst>
                    <c:strCache>
                      <c:ptCount val="1"/>
                      <c:pt idx="0">
                        <c:v>Fuelolie</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Grafer!$C$105:$H$105</c15:sqref>
                        </c15:fullRef>
                        <c15:formulaRef>
                          <c15:sqref>(Grafer!$C$105:$D$105,Grafer!$F$105:$G$105)</c15:sqref>
                        </c15:formulaRef>
                      </c:ext>
                    </c:extLst>
                    <c:numCache>
                      <c:formatCode>#,##0</c:formatCode>
                      <c:ptCount val="4"/>
                      <c:pt idx="0">
                        <c:v>1E-3</c:v>
                      </c:pt>
                      <c:pt idx="1">
                        <c:v>9.8780000000000005E-4</c:v>
                      </c:pt>
                    </c:numCache>
                  </c:numRef>
                </c:val>
                <c:extLst xmlns:c15="http://schemas.microsoft.com/office/drawing/2012/chart">
                  <c:ext xmlns:c16="http://schemas.microsoft.com/office/drawing/2014/chart" uri="{C3380CC4-5D6E-409C-BE32-E72D297353CC}">
                    <c16:uniqueId val="{00000006-19CE-48CC-8C8A-CEFA1695566B}"/>
                  </c:ext>
                </c:extLst>
              </c15:ser>
            </c15:filteredBarSeries>
            <c15:filteredBarSeries>
              <c15:ser>
                <c:idx val="5"/>
                <c:order val="3"/>
                <c:tx>
                  <c:strRef>
                    <c:extLst xmlns:c15="http://schemas.microsoft.com/office/drawing/2012/chart">
                      <c:ext xmlns:c15="http://schemas.microsoft.com/office/drawing/2012/chart" uri="{02D57815-91ED-43cb-92C2-25804820EDAC}">
                        <c15:formulaRef>
                          <c15:sqref>Grafer!$B$106</c15:sqref>
                        </c15:formulaRef>
                      </c:ext>
                    </c:extLst>
                    <c:strCache>
                      <c:ptCount val="1"/>
                      <c:pt idx="0">
                        <c:v>Brændselsolie/diesel</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Grafer!$C$106:$H$106</c15:sqref>
                        </c15:fullRef>
                        <c15:formulaRef>
                          <c15:sqref>(Grafer!$C$106:$D$106,Grafer!$F$106:$G$106)</c15:sqref>
                        </c15:formulaRef>
                      </c:ext>
                    </c:extLst>
                    <c:numCache>
                      <c:formatCode>#,##0</c:formatCode>
                      <c:ptCount val="4"/>
                      <c:pt idx="0">
                        <c:v>81.932789999999997</c:v>
                      </c:pt>
                      <c:pt idx="1">
                        <c:v>59.795525647000005</c:v>
                      </c:pt>
                    </c:numCache>
                  </c:numRef>
                </c:val>
                <c:extLst xmlns:c15="http://schemas.microsoft.com/office/drawing/2012/chart">
                  <c:ext xmlns:c16="http://schemas.microsoft.com/office/drawing/2014/chart" uri="{C3380CC4-5D6E-409C-BE32-E72D297353CC}">
                    <c16:uniqueId val="{00000007-19CE-48CC-8C8A-CEFA1695566B}"/>
                  </c:ext>
                </c:extLst>
              </c15:ser>
            </c15:filteredBarSeries>
            <c15:filteredBarSeries>
              <c15:ser>
                <c:idx val="14"/>
                <c:order val="4"/>
                <c:tx>
                  <c:strRef>
                    <c:extLst xmlns:c15="http://schemas.microsoft.com/office/drawing/2012/chart">
                      <c:ext xmlns:c15="http://schemas.microsoft.com/office/drawing/2012/chart" uri="{02D57815-91ED-43cb-92C2-25804820EDAC}">
                        <c15:formulaRef>
                          <c15:sqref>Grafer!$B$107</c15:sqref>
                        </c15:formulaRef>
                      </c:ext>
                    </c:extLst>
                    <c:strCache>
                      <c:ptCount val="1"/>
                      <c:pt idx="0">
                        <c:v>JP1</c:v>
                      </c:pt>
                    </c:strCache>
                  </c:strRef>
                </c:tx>
                <c:spPr>
                  <a:solidFill>
                    <a:srgbClr val="D9AAA9"/>
                  </a:solidFill>
                </c:spPr>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Grafer!$C$107:$H$107</c15:sqref>
                        </c15:fullRef>
                        <c15:formulaRef>
                          <c15:sqref>(Grafer!$C$107:$D$107,Grafer!$F$107:$G$107)</c15:sqref>
                        </c15:formulaRef>
                      </c:ext>
                    </c:extLst>
                    <c:numCache>
                      <c:formatCode>#,##0</c:formatCode>
                      <c:ptCount val="4"/>
                      <c:pt idx="0">
                        <c:v>13.98</c:v>
                      </c:pt>
                      <c:pt idx="1">
                        <c:v>16.310466000000002</c:v>
                      </c:pt>
                    </c:numCache>
                  </c:numRef>
                </c:val>
                <c:extLst xmlns:c15="http://schemas.microsoft.com/office/drawing/2012/chart">
                  <c:ext xmlns:c16="http://schemas.microsoft.com/office/drawing/2014/chart" uri="{C3380CC4-5D6E-409C-BE32-E72D297353CC}">
                    <c16:uniqueId val="{00000008-19CE-48CC-8C8A-CEFA1695566B}"/>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Grafer!$B$108</c15:sqref>
                        </c15:formulaRef>
                      </c:ext>
                    </c:extLst>
                    <c:strCache>
                      <c:ptCount val="1"/>
                      <c:pt idx="0">
                        <c:v>Benzin</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Grafer!$C$108:$H$108</c15:sqref>
                        </c15:fullRef>
                        <c15:formulaRef>
                          <c15:sqref>(Grafer!$C$108:$D$108,Grafer!$F$108:$G$108)</c15:sqref>
                        </c15:formulaRef>
                      </c:ext>
                    </c:extLst>
                    <c:numCache>
                      <c:formatCode>#,##0</c:formatCode>
                      <c:ptCount val="4"/>
                      <c:pt idx="0">
                        <c:v>18.057780000000001</c:v>
                      </c:pt>
                      <c:pt idx="1">
                        <c:v>16.864876500000001</c:v>
                      </c:pt>
                    </c:numCache>
                  </c:numRef>
                </c:val>
                <c:extLst xmlns:c15="http://schemas.microsoft.com/office/drawing/2012/chart">
                  <c:ext xmlns:c16="http://schemas.microsoft.com/office/drawing/2014/chart" uri="{C3380CC4-5D6E-409C-BE32-E72D297353CC}">
                    <c16:uniqueId val="{00000009-19CE-48CC-8C8A-CEFA1695566B}"/>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Grafer!$B$109</c15:sqref>
                        </c15:formulaRef>
                      </c:ext>
                    </c:extLst>
                    <c:strCache>
                      <c:ptCount val="1"/>
                      <c:pt idx="0">
                        <c:v>Affald, ikke bionedbrydeligt</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Grafer!$C$109:$H$109</c15:sqref>
                        </c15:fullRef>
                        <c15:formulaRef>
                          <c15:sqref>(Grafer!$C$109:$D$109,Grafer!$F$109:$G$109)</c15:sqref>
                        </c15:formulaRef>
                      </c:ext>
                    </c:extLst>
                    <c:numCache>
                      <c:formatCode>#,##0</c:formatCode>
                      <c:ptCount val="4"/>
                      <c:pt idx="0">
                        <c:v>0</c:v>
                      </c:pt>
                      <c:pt idx="1">
                        <c:v>0</c:v>
                      </c:pt>
                    </c:numCache>
                  </c:numRef>
                </c:val>
                <c:extLst xmlns:c15="http://schemas.microsoft.com/office/drawing/2012/chart">
                  <c:ext xmlns:c16="http://schemas.microsoft.com/office/drawing/2014/chart" uri="{C3380CC4-5D6E-409C-BE32-E72D297353CC}">
                    <c16:uniqueId val="{0000000A-19CE-48CC-8C8A-CEFA1695566B}"/>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Grafer!$B$110</c15:sqref>
                        </c15:formulaRef>
                      </c:ext>
                    </c:extLst>
                    <c:strCache>
                      <c:ptCount val="1"/>
                      <c:pt idx="0">
                        <c:v>Affald, bionedbrydeligt</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Grafer!$C$110:$H$110</c15:sqref>
                        </c15:fullRef>
                        <c15:formulaRef>
                          <c15:sqref>(Grafer!$C$110:$D$110,Grafer!$F$110:$G$110)</c15:sqref>
                        </c15:formulaRef>
                      </c:ext>
                    </c:extLst>
                    <c:numCache>
                      <c:formatCode>#,##0</c:formatCode>
                      <c:ptCount val="4"/>
                      <c:pt idx="0">
                        <c:v>0</c:v>
                      </c:pt>
                      <c:pt idx="1">
                        <c:v>0</c:v>
                      </c:pt>
                    </c:numCache>
                  </c:numRef>
                </c:val>
                <c:extLst xmlns:c15="http://schemas.microsoft.com/office/drawing/2012/chart">
                  <c:ext xmlns:c16="http://schemas.microsoft.com/office/drawing/2014/chart" uri="{C3380CC4-5D6E-409C-BE32-E72D297353CC}">
                    <c16:uniqueId val="{0000000B-19CE-48CC-8C8A-CEFA1695566B}"/>
                  </c:ext>
                </c:extLst>
              </c15:ser>
            </c15:filteredBarSeries>
            <c15:filteredBarSeries>
              <c15:ser>
                <c:idx val="9"/>
                <c:order val="8"/>
                <c:tx>
                  <c:strRef>
                    <c:extLst xmlns:c15="http://schemas.microsoft.com/office/drawing/2012/chart">
                      <c:ext xmlns:c15="http://schemas.microsoft.com/office/drawing/2012/chart" uri="{02D57815-91ED-43cb-92C2-25804820EDAC}">
                        <c15:formulaRef>
                          <c15:sqref>Grafer!$B$111</c15:sqref>
                        </c15:formulaRef>
                      </c:ext>
                    </c:extLst>
                    <c:strCache>
                      <c:ptCount val="1"/>
                      <c:pt idx="0">
                        <c:v>Biomasse</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Grafer!$C$111:$H$111</c15:sqref>
                        </c15:fullRef>
                        <c15:formulaRef>
                          <c15:sqref>(Grafer!$C$111:$D$111,Grafer!$F$111:$G$111)</c15:sqref>
                        </c15:formulaRef>
                      </c:ext>
                    </c:extLst>
                    <c:numCache>
                      <c:formatCode>#,##0</c:formatCode>
                      <c:ptCount val="4"/>
                      <c:pt idx="0">
                        <c:v>71.532429999999991</c:v>
                      </c:pt>
                      <c:pt idx="1">
                        <c:v>73.548667590999997</c:v>
                      </c:pt>
                    </c:numCache>
                  </c:numRef>
                </c:val>
                <c:extLst xmlns:c15="http://schemas.microsoft.com/office/drawing/2012/chart">
                  <c:ext xmlns:c16="http://schemas.microsoft.com/office/drawing/2014/chart" uri="{C3380CC4-5D6E-409C-BE32-E72D297353CC}">
                    <c16:uniqueId val="{0000000C-19CE-48CC-8C8A-CEFA1695566B}"/>
                  </c:ext>
                </c:extLst>
              </c15:ser>
            </c15:filteredBarSeries>
            <c15:filteredBarSeries>
              <c15:ser>
                <c:idx val="11"/>
                <c:order val="10"/>
                <c:tx>
                  <c:strRef>
                    <c:extLst xmlns:c15="http://schemas.microsoft.com/office/drawing/2012/chart">
                      <c:ext xmlns:c15="http://schemas.microsoft.com/office/drawing/2012/chart" uri="{02D57815-91ED-43cb-92C2-25804820EDAC}">
                        <c15:formulaRef>
                          <c15:sqref>Grafer!$B$113</c15:sqref>
                        </c15:formulaRef>
                      </c:ext>
                    </c:extLst>
                    <c:strCache>
                      <c:ptCount val="1"/>
                      <c:pt idx="0">
                        <c:v>Biogas</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Grafer!$C$113:$H$113</c15:sqref>
                        </c15:fullRef>
                        <c15:formulaRef>
                          <c15:sqref>(Grafer!$C$113:$D$113,Grafer!$F$113:$G$113)</c15:sqref>
                        </c15:formulaRef>
                      </c:ext>
                    </c:extLst>
                    <c:numCache>
                      <c:formatCode>#,##0</c:formatCode>
                      <c:ptCount val="4"/>
                      <c:pt idx="0">
                        <c:v>0</c:v>
                      </c:pt>
                      <c:pt idx="1">
                        <c:v>0</c:v>
                      </c:pt>
                    </c:numCache>
                  </c:numRef>
                </c:val>
                <c:extLst xmlns:c15="http://schemas.microsoft.com/office/drawing/2012/chart">
                  <c:ext xmlns:c16="http://schemas.microsoft.com/office/drawing/2014/chart" uri="{C3380CC4-5D6E-409C-BE32-E72D297353CC}">
                    <c16:uniqueId val="{0000000D-19CE-48CC-8C8A-CEFA1695566B}"/>
                  </c:ext>
                </c:extLst>
              </c15:ser>
            </c15:filteredBarSeries>
            <c15:filteredBarSeries>
              <c15:ser>
                <c:idx val="0"/>
                <c:order val="12"/>
                <c:tx>
                  <c:strRef>
                    <c:extLst xmlns:c15="http://schemas.microsoft.com/office/drawing/2012/chart">
                      <c:ext xmlns:c15="http://schemas.microsoft.com/office/drawing/2012/chart" uri="{02D57815-91ED-43cb-92C2-25804820EDAC}">
                        <c15:formulaRef>
                          <c15:sqref>Grafer!$B$115</c15:sqref>
                        </c15:formulaRef>
                      </c:ext>
                    </c:extLst>
                    <c:strCache>
                      <c:ptCount val="1"/>
                      <c:pt idx="0">
                        <c:v>Jordvarme, geotermi, vandkraft mm.</c:v>
                      </c:pt>
                    </c:strCache>
                  </c:strRef>
                </c:tx>
                <c:invertIfNegative val="0"/>
                <c:cat>
                  <c:strRef>
                    <c:extLst>
                      <c:ext xmlns:c15="http://schemas.microsoft.com/office/drawing/2012/chart" uri="{02D57815-91ED-43cb-92C2-25804820EDAC}">
                        <c15:fullRef>
                          <c15:sqref>Grafer!$C$101:$H$101</c15:sqref>
                        </c15:fullRef>
                        <c15:formulaRef>
                          <c15:sqref>(Grafer!$C$101:$D$101,Grafer!$F$101:$G$101)</c15:sqref>
                        </c15:formulaRef>
                      </c:ext>
                    </c:extLst>
                    <c:strCache>
                      <c:ptCount val="2"/>
                      <c:pt idx="0">
                        <c:v>2018</c:v>
                      </c:pt>
                      <c:pt idx="1">
                        <c:v>BAU2030</c:v>
                      </c:pt>
                    </c:strCache>
                  </c:strRef>
                </c:cat>
                <c:val>
                  <c:numRef>
                    <c:extLst>
                      <c:ext xmlns:c15="http://schemas.microsoft.com/office/drawing/2012/chart" uri="{02D57815-91ED-43cb-92C2-25804820EDAC}">
                        <c15:fullRef>
                          <c15:sqref>Grafer!$C$115:$H$115</c15:sqref>
                        </c15:fullRef>
                        <c15:formulaRef>
                          <c15:sqref>(Grafer!$C$115:$D$115,Grafer!$F$115:$G$115)</c15:sqref>
                        </c15:formulaRef>
                      </c:ext>
                    </c:extLst>
                    <c:numCache>
                      <c:formatCode>#,##0</c:formatCode>
                      <c:ptCount val="4"/>
                      <c:pt idx="0">
                        <c:v>1.0999999999999999</c:v>
                      </c:pt>
                      <c:pt idx="1">
                        <c:v>8.0557999999999996</c:v>
                      </c:pt>
                    </c:numCache>
                  </c:numRef>
                </c:val>
                <c:extLst xmlns:c15="http://schemas.microsoft.com/office/drawing/2012/chart">
                  <c:ext xmlns:c16="http://schemas.microsoft.com/office/drawing/2014/chart" uri="{C3380CC4-5D6E-409C-BE32-E72D297353CC}">
                    <c16:uniqueId val="{0000000E-19CE-48CC-8C8A-CEFA1695566B}"/>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2"/>
          <c:order val="0"/>
          <c:tx>
            <c:strRef>
              <c:f>Grafer!$B$120</c:f>
              <c:strCache>
                <c:ptCount val="1"/>
                <c:pt idx="0">
                  <c:v>Fast Biomasse</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Grafer!$C$120:$H$120</c15:sqref>
                  </c15:fullRef>
                </c:ext>
              </c:extLst>
              <c:f>(Grafer!$C$120:$D$120,Grafer!$F$120:$G$120)</c:f>
              <c:numCache>
                <c:formatCode>#,##0</c:formatCode>
                <c:ptCount val="4"/>
                <c:pt idx="0">
                  <c:v>71.532429999999991</c:v>
                </c:pt>
                <c:pt idx="1">
                  <c:v>73.548667590999997</c:v>
                </c:pt>
              </c:numCache>
            </c:numRef>
          </c:val>
          <c:extLst xmlns:c15="http://schemas.microsoft.com/office/drawing/2012/chart">
            <c:ext xmlns:c16="http://schemas.microsoft.com/office/drawing/2014/chart" uri="{C3380CC4-5D6E-409C-BE32-E72D297353CC}">
              <c16:uniqueId val="{00000000-CF09-4AB4-BFA6-0DAE80EEA57C}"/>
            </c:ext>
          </c:extLst>
        </c:ser>
        <c:ser>
          <c:idx val="0"/>
          <c:order val="1"/>
          <c:tx>
            <c:strRef>
              <c:f>Grafer!$B$121</c:f>
              <c:strCache>
                <c:ptCount val="1"/>
                <c:pt idx="0">
                  <c:v>Biogas</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Grafer!$C$121:$H$121</c15:sqref>
                  </c15:fullRef>
                </c:ext>
              </c:extLst>
              <c:f>(Grafer!$C$121:$D$121,Grafer!$F$121:$G$121)</c:f>
              <c:numCache>
                <c:formatCode>#,##0</c:formatCode>
                <c:ptCount val="4"/>
                <c:pt idx="0">
                  <c:v>0</c:v>
                </c:pt>
                <c:pt idx="1">
                  <c:v>0</c:v>
                </c:pt>
              </c:numCache>
            </c:numRef>
          </c:val>
          <c:extLst>
            <c:ext xmlns:c16="http://schemas.microsoft.com/office/drawing/2014/chart" uri="{C3380CC4-5D6E-409C-BE32-E72D297353CC}">
              <c16:uniqueId val="{00000001-CF09-4AB4-BFA6-0DAE80EEA57C}"/>
            </c:ext>
          </c:extLst>
        </c:ser>
        <c:ser>
          <c:idx val="1"/>
          <c:order val="2"/>
          <c:tx>
            <c:strRef>
              <c:f>Grafer!$B$122</c:f>
              <c:strCache>
                <c:ptCount val="1"/>
                <c:pt idx="0">
                  <c:v>Affald</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Grafer!$C$122:$H$122</c15:sqref>
                  </c15:fullRef>
                </c:ext>
              </c:extLst>
              <c:f>(Grafer!$C$122:$D$122,Grafer!$F$122:$G$122)</c:f>
              <c:numCache>
                <c:formatCode>#,##0</c:formatCode>
                <c:ptCount val="4"/>
                <c:pt idx="0">
                  <c:v>0</c:v>
                </c:pt>
                <c:pt idx="1">
                  <c:v>0</c:v>
                </c:pt>
              </c:numCache>
            </c:numRef>
          </c:val>
          <c:extLst>
            <c:ext xmlns:c16="http://schemas.microsoft.com/office/drawing/2014/chart" uri="{C3380CC4-5D6E-409C-BE32-E72D297353CC}">
              <c16:uniqueId val="{00000002-CF09-4AB4-BFA6-0DAE80EEA57C}"/>
            </c:ext>
          </c:extLst>
        </c:ser>
        <c:ser>
          <c:idx val="3"/>
          <c:order val="3"/>
          <c:tx>
            <c:strRef>
              <c:f>Grafer!$B$123</c:f>
              <c:strCache>
                <c:ptCount val="1"/>
                <c:pt idx="0">
                  <c:v>Olie og gas</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Grafer!$C$123:$H$123</c15:sqref>
                  </c15:fullRef>
                </c:ext>
              </c:extLst>
              <c:f>(Grafer!$C$123:$D$123,Grafer!$F$123:$G$123)</c:f>
              <c:numCache>
                <c:formatCode>#,##0</c:formatCode>
                <c:ptCount val="4"/>
                <c:pt idx="0">
                  <c:v>114.86157</c:v>
                </c:pt>
                <c:pt idx="1">
                  <c:v>93.861855947000009</c:v>
                </c:pt>
              </c:numCache>
            </c:numRef>
          </c:val>
          <c:extLst>
            <c:ext xmlns:c16="http://schemas.microsoft.com/office/drawing/2014/chart" uri="{C3380CC4-5D6E-409C-BE32-E72D297353CC}">
              <c16:uniqueId val="{00000003-CF09-4AB4-BFA6-0DAE80EEA57C}"/>
            </c:ext>
          </c:extLst>
        </c:ser>
        <c:ser>
          <c:idx val="4"/>
          <c:order val="4"/>
          <c:tx>
            <c:strRef>
              <c:f>Grafer!$B$124</c:f>
              <c:strCache>
                <c:ptCount val="1"/>
                <c:pt idx="0">
                  <c:v>El</c:v>
                </c:pt>
              </c:strCache>
            </c:strRef>
          </c:tx>
          <c:invertIfNegative val="0"/>
          <c:cat>
            <c:strRef>
              <c:extLst>
                <c:ext xmlns:c15="http://schemas.microsoft.com/office/drawing/2012/chart" uri="{02D57815-91ED-43cb-92C2-25804820EDAC}">
                  <c15:fullRef>
                    <c15:sqref>Grafer!$C$101:$H$101</c15:sqref>
                  </c15:fullRef>
                </c:ext>
              </c:extLst>
              <c:f>(Grafer!$C$101:$D$101,Grafer!$F$101:$G$101)</c:f>
              <c:strCache>
                <c:ptCount val="2"/>
                <c:pt idx="0">
                  <c:v>2018</c:v>
                </c:pt>
                <c:pt idx="1">
                  <c:v>BAU2030</c:v>
                </c:pt>
              </c:strCache>
            </c:strRef>
          </c:cat>
          <c:val>
            <c:numRef>
              <c:extLst>
                <c:ext xmlns:c15="http://schemas.microsoft.com/office/drawing/2012/chart" uri="{02D57815-91ED-43cb-92C2-25804820EDAC}">
                  <c15:fullRef>
                    <c15:sqref>Grafer!$C$124:$H$124</c15:sqref>
                  </c15:fullRef>
                </c:ext>
              </c:extLst>
              <c:f>(Grafer!$C$124:$D$124,Grafer!$F$124:$G$124)</c:f>
              <c:numCache>
                <c:formatCode>#,##0</c:formatCode>
                <c:ptCount val="4"/>
                <c:pt idx="0">
                  <c:v>57.142101701636449</c:v>
                </c:pt>
                <c:pt idx="1">
                  <c:v>71.480753278055772</c:v>
                </c:pt>
              </c:numCache>
            </c:numRef>
          </c:val>
          <c:extLst>
            <c:ext xmlns:c16="http://schemas.microsoft.com/office/drawing/2014/chart" uri="{C3380CC4-5D6E-409C-BE32-E72D297353CC}">
              <c16:uniqueId val="{00000004-CF09-4AB4-BFA6-0DAE80EEA57C}"/>
            </c:ext>
          </c:extLst>
        </c:ser>
        <c:dLbls>
          <c:showLegendKey val="0"/>
          <c:showVal val="0"/>
          <c:showCatName val="0"/>
          <c:showSerName val="0"/>
          <c:showPercent val="0"/>
          <c:showBubbleSize val="0"/>
        </c:dLbls>
        <c:gapWidth val="150"/>
        <c:overlap val="100"/>
        <c:axId val="728089656"/>
        <c:axId val="728088480"/>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Grafer!$C$643:$E$643</c15:sqref>
                  </c15:fullRef>
                </c:ext>
              </c:extLst>
              <c:f>(Grafer!$C$643,Grafer!$E$643)</c:f>
              <c:numCache>
                <c:formatCode>#,##0</c:formatCode>
                <c:ptCount val="2"/>
                <c:pt idx="0">
                  <c:v>1.8314999999999999</c:v>
                </c:pt>
                <c:pt idx="1">
                  <c:v>0</c:v>
                </c:pt>
              </c:numCache>
            </c:numRef>
          </c:val>
          <c:extLst>
            <c:ext xmlns:c16="http://schemas.microsoft.com/office/drawing/2014/chart" uri="{C3380CC4-5D6E-409C-BE32-E72D297353CC}">
              <c16:uniqueId val="{00000000-0286-4904-9080-44AFF2A41A31}"/>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Grafer!$C$644:$E$644</c15:sqref>
                  </c15:fullRef>
                </c:ext>
              </c:extLst>
              <c:f>(Grafer!$C$644,Grafer!$E$644)</c:f>
              <c:numCache>
                <c:formatCode>#,##0</c:formatCode>
                <c:ptCount val="2"/>
                <c:pt idx="0">
                  <c:v>3.6851999999999996E-2</c:v>
                </c:pt>
                <c:pt idx="1">
                  <c:v>3.3166800000000003E-2</c:v>
                </c:pt>
              </c:numCache>
            </c:numRef>
          </c:val>
          <c:extLst>
            <c:ext xmlns:c16="http://schemas.microsoft.com/office/drawing/2014/chart" uri="{C3380CC4-5D6E-409C-BE32-E72D297353CC}">
              <c16:uniqueId val="{00000001-0286-4904-9080-44AFF2A41A31}"/>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Grafer!$C$645:$E$645</c15:sqref>
                  </c15:fullRef>
                </c:ext>
              </c:extLst>
              <c:f>(Grafer!$C$645,Grafer!$E$645)</c:f>
              <c:numCache>
                <c:formatCode>#,##0</c:formatCode>
                <c:ptCount val="2"/>
                <c:pt idx="0">
                  <c:v>5.6159000000000001E-2</c:v>
                </c:pt>
                <c:pt idx="1">
                  <c:v>5.6159000000000001E-2</c:v>
                </c:pt>
              </c:numCache>
            </c:numRef>
          </c:val>
          <c:extLst>
            <c:ext xmlns:c16="http://schemas.microsoft.com/office/drawing/2014/chart" uri="{C3380CC4-5D6E-409C-BE32-E72D297353CC}">
              <c16:uniqueId val="{00000002-0286-4904-9080-44AFF2A41A31}"/>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Grafer!$C$646:$E$646</c15:sqref>
                  </c15:fullRef>
                </c:ext>
              </c:extLst>
              <c:f>(Grafer!$C$646,Grafer!$E$646)</c:f>
              <c:numCache>
                <c:formatCode>#,##0</c:formatCode>
                <c:ptCount val="2"/>
                <c:pt idx="0">
                  <c:v>6.5195312800000007</c:v>
                </c:pt>
                <c:pt idx="1">
                  <c:v>4.68929102255</c:v>
                </c:pt>
              </c:numCache>
            </c:numRef>
          </c:val>
          <c:extLst>
            <c:ext xmlns:c16="http://schemas.microsoft.com/office/drawing/2014/chart" uri="{C3380CC4-5D6E-409C-BE32-E72D297353CC}">
              <c16:uniqueId val="{00000003-0286-4904-9080-44AFF2A41A31}"/>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Grafer!$C$647:$E$647</c15:sqref>
                  </c15:fullRef>
                </c:ext>
              </c:extLst>
              <c:f>(Grafer!$C$647,Grafer!$E$647)</c:f>
              <c:numCache>
                <c:formatCode>#,##0</c:formatCode>
                <c:ptCount val="2"/>
              </c:numCache>
            </c:numRef>
          </c:val>
          <c:extLst>
            <c:ext xmlns:c16="http://schemas.microsoft.com/office/drawing/2014/chart" uri="{C3380CC4-5D6E-409C-BE32-E72D297353CC}">
              <c16:uniqueId val="{00000004-0286-4904-9080-44AFF2A41A31}"/>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Grafer!$C$648:$E$648</c15:sqref>
                  </c15:fullRef>
                </c:ext>
              </c:extLst>
              <c:f>(Grafer!$C$648,Grafer!$E$648)</c:f>
              <c:numCache>
                <c:formatCode>#,##0</c:formatCode>
                <c:ptCount val="2"/>
                <c:pt idx="0">
                  <c:v>4.5293996632071147</c:v>
                </c:pt>
                <c:pt idx="1">
                  <c:v>0</c:v>
                </c:pt>
              </c:numCache>
            </c:numRef>
          </c:val>
          <c:extLst>
            <c:ext xmlns:c16="http://schemas.microsoft.com/office/drawing/2014/chart" uri="{C3380CC4-5D6E-409C-BE32-E72D297353CC}">
              <c16:uniqueId val="{00000005-0286-4904-9080-44AFF2A41A31}"/>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Grafer!$B$564</c:f>
              <c:strCache>
                <c:ptCount val="1"/>
                <c:pt idx="0">
                  <c:v>Elimport</c:v>
                </c:pt>
              </c:strCache>
            </c:strRef>
          </c:tx>
          <c:invertIfNegative val="0"/>
          <c:cat>
            <c:strRef>
              <c:f>Grafer!$C$563:$E$563</c:f>
              <c:strCache>
                <c:ptCount val="3"/>
                <c:pt idx="0">
                  <c:v>2018</c:v>
                </c:pt>
                <c:pt idx="1">
                  <c:v>BAU2030</c:v>
                </c:pt>
                <c:pt idx="2">
                  <c:v>BAU2050</c:v>
                </c:pt>
              </c:strCache>
            </c:strRef>
          </c:cat>
          <c:val>
            <c:numRef>
              <c:f>Grafer!$C$564:$E$564</c:f>
              <c:numCache>
                <c:formatCode>#,##0</c:formatCode>
                <c:ptCount val="3"/>
                <c:pt idx="0">
                  <c:v>4.5293996632071147</c:v>
                </c:pt>
                <c:pt idx="1">
                  <c:v>0</c:v>
                </c:pt>
                <c:pt idx="2">
                  <c:v>0</c:v>
                </c:pt>
              </c:numCache>
            </c:numRef>
          </c:val>
          <c:extLst>
            <c:ext xmlns:c16="http://schemas.microsoft.com/office/drawing/2014/chart" uri="{C3380CC4-5D6E-409C-BE32-E72D297353CC}">
              <c16:uniqueId val="{00000000-E226-4568-A55A-74667567AA84}"/>
            </c:ext>
          </c:extLst>
        </c:ser>
        <c:ser>
          <c:idx val="2"/>
          <c:order val="1"/>
          <c:tx>
            <c:strRef>
              <c:f>Grafer!$B$565</c:f>
              <c:strCache>
                <c:ptCount val="1"/>
                <c:pt idx="0">
                  <c:v>Kul</c:v>
                </c:pt>
              </c:strCache>
            </c:strRef>
          </c:tx>
          <c:invertIfNegative val="0"/>
          <c:cat>
            <c:strRef>
              <c:f>Grafer!$C$563:$E$563</c:f>
              <c:strCache>
                <c:ptCount val="3"/>
                <c:pt idx="0">
                  <c:v>2018</c:v>
                </c:pt>
                <c:pt idx="1">
                  <c:v>BAU2030</c:v>
                </c:pt>
                <c:pt idx="2">
                  <c:v>BAU2050</c:v>
                </c:pt>
              </c:strCache>
            </c:strRef>
          </c:cat>
          <c:val>
            <c:numRef>
              <c:f>Grafer!$C$565:$E$565</c:f>
              <c:numCache>
                <c:formatCode>#,##0</c:formatCode>
                <c:ptCount val="3"/>
                <c:pt idx="0">
                  <c:v>0</c:v>
                </c:pt>
                <c:pt idx="1">
                  <c:v>0</c:v>
                </c:pt>
                <c:pt idx="2">
                  <c:v>0</c:v>
                </c:pt>
              </c:numCache>
            </c:numRef>
          </c:val>
          <c:extLst>
            <c:ext xmlns:c16="http://schemas.microsoft.com/office/drawing/2014/chart" uri="{C3380CC4-5D6E-409C-BE32-E72D297353CC}">
              <c16:uniqueId val="{00000001-E226-4568-A55A-74667567AA84}"/>
            </c:ext>
          </c:extLst>
        </c:ser>
        <c:ser>
          <c:idx val="3"/>
          <c:order val="2"/>
          <c:tx>
            <c:strRef>
              <c:f>Grafer!$B$566</c:f>
              <c:strCache>
                <c:ptCount val="1"/>
                <c:pt idx="0">
                  <c:v>Naturgas og LPG</c:v>
                </c:pt>
              </c:strCache>
            </c:strRef>
          </c:tx>
          <c:invertIfNegative val="0"/>
          <c:cat>
            <c:strRef>
              <c:f>Grafer!$C$563:$E$563</c:f>
              <c:strCache>
                <c:ptCount val="3"/>
                <c:pt idx="0">
                  <c:v>2018</c:v>
                </c:pt>
                <c:pt idx="1">
                  <c:v>BAU2030</c:v>
                </c:pt>
                <c:pt idx="2">
                  <c:v>BAU2050</c:v>
                </c:pt>
              </c:strCache>
            </c:strRef>
          </c:cat>
          <c:val>
            <c:numRef>
              <c:f>Grafer!$C$566:$E$566</c:f>
              <c:numCache>
                <c:formatCode>#,##0</c:formatCode>
                <c:ptCount val="3"/>
                <c:pt idx="0">
                  <c:v>5.6159000000000001E-2</c:v>
                </c:pt>
                <c:pt idx="1">
                  <c:v>5.6159000000000001E-2</c:v>
                </c:pt>
                <c:pt idx="2">
                  <c:v>5.6159000000000001E-2</c:v>
                </c:pt>
              </c:numCache>
            </c:numRef>
          </c:val>
          <c:extLst>
            <c:ext xmlns:c16="http://schemas.microsoft.com/office/drawing/2014/chart" uri="{C3380CC4-5D6E-409C-BE32-E72D297353CC}">
              <c16:uniqueId val="{00000002-E226-4568-A55A-74667567AA84}"/>
            </c:ext>
          </c:extLst>
        </c:ser>
        <c:ser>
          <c:idx val="4"/>
          <c:order val="3"/>
          <c:tx>
            <c:strRef>
              <c:f>Grafer!$B$567</c:f>
              <c:strCache>
                <c:ptCount val="1"/>
                <c:pt idx="0">
                  <c:v>Fuelolie</c:v>
                </c:pt>
              </c:strCache>
            </c:strRef>
          </c:tx>
          <c:invertIfNegative val="0"/>
          <c:cat>
            <c:strRef>
              <c:f>Grafer!$C$563:$E$563</c:f>
              <c:strCache>
                <c:ptCount val="3"/>
                <c:pt idx="0">
                  <c:v>2018</c:v>
                </c:pt>
                <c:pt idx="1">
                  <c:v>BAU2030</c:v>
                </c:pt>
                <c:pt idx="2">
                  <c:v>BAU2050</c:v>
                </c:pt>
              </c:strCache>
            </c:strRef>
          </c:cat>
          <c:val>
            <c:numRef>
              <c:f>Grafer!$C$567:$E$567</c:f>
              <c:numCache>
                <c:formatCode>#,##0</c:formatCode>
                <c:ptCount val="3"/>
                <c:pt idx="0">
                  <c:v>7.887999999999999E-5</c:v>
                </c:pt>
                <c:pt idx="1">
                  <c:v>7.7917663999999996E-5</c:v>
                </c:pt>
                <c:pt idx="2">
                  <c:v>7.7917663999999996E-5</c:v>
                </c:pt>
              </c:numCache>
            </c:numRef>
          </c:val>
          <c:extLst>
            <c:ext xmlns:c16="http://schemas.microsoft.com/office/drawing/2014/chart" uri="{C3380CC4-5D6E-409C-BE32-E72D297353CC}">
              <c16:uniqueId val="{00000003-E226-4568-A55A-74667567AA84}"/>
            </c:ext>
          </c:extLst>
        </c:ser>
        <c:ser>
          <c:idx val="5"/>
          <c:order val="4"/>
          <c:tx>
            <c:strRef>
              <c:f>Grafer!$B$568</c:f>
              <c:strCache>
                <c:ptCount val="1"/>
                <c:pt idx="0">
                  <c:v>Brændselsolie/diesel</c:v>
                </c:pt>
              </c:strCache>
            </c:strRef>
          </c:tx>
          <c:invertIfNegative val="0"/>
          <c:cat>
            <c:strRef>
              <c:f>Grafer!$C$563:$E$563</c:f>
              <c:strCache>
                <c:ptCount val="3"/>
                <c:pt idx="0">
                  <c:v>2018</c:v>
                </c:pt>
                <c:pt idx="1">
                  <c:v>BAU2030</c:v>
                </c:pt>
                <c:pt idx="2">
                  <c:v>BAU2050</c:v>
                </c:pt>
              </c:strCache>
            </c:strRef>
          </c:cat>
          <c:val>
            <c:numRef>
              <c:f>Grafer!$C$568:$E$568</c:f>
              <c:numCache>
                <c:formatCode>#,##0</c:formatCode>
                <c:ptCount val="3"/>
                <c:pt idx="0">
                  <c:v>6.0630264599999997</c:v>
                </c:pt>
                <c:pt idx="1">
                  <c:v>4.4248688978780004</c:v>
                </c:pt>
                <c:pt idx="2">
                  <c:v>3.2700306655859999</c:v>
                </c:pt>
              </c:numCache>
            </c:numRef>
          </c:val>
          <c:extLst>
            <c:ext xmlns:c16="http://schemas.microsoft.com/office/drawing/2014/chart" uri="{C3380CC4-5D6E-409C-BE32-E72D297353CC}">
              <c16:uniqueId val="{00000004-E226-4568-A55A-74667567AA84}"/>
            </c:ext>
          </c:extLst>
        </c:ser>
        <c:ser>
          <c:idx val="7"/>
          <c:order val="5"/>
          <c:tx>
            <c:strRef>
              <c:f>Grafer!$B$569</c:f>
              <c:strCache>
                <c:ptCount val="1"/>
                <c:pt idx="0">
                  <c:v>JP1</c:v>
                </c:pt>
              </c:strCache>
            </c:strRef>
          </c:tx>
          <c:spPr>
            <a:solidFill>
              <a:srgbClr val="D9AAA9"/>
            </a:solidFill>
          </c:spPr>
          <c:invertIfNegative val="0"/>
          <c:cat>
            <c:strRef>
              <c:f>Grafer!$C$563:$E$563</c:f>
              <c:strCache>
                <c:ptCount val="3"/>
                <c:pt idx="0">
                  <c:v>2018</c:v>
                </c:pt>
                <c:pt idx="1">
                  <c:v>BAU2030</c:v>
                </c:pt>
                <c:pt idx="2">
                  <c:v>BAU2050</c:v>
                </c:pt>
              </c:strCache>
            </c:strRef>
          </c:cat>
          <c:val>
            <c:numRef>
              <c:f>Grafer!$C$569:$E$569</c:f>
              <c:numCache>
                <c:formatCode>#,##0</c:formatCode>
                <c:ptCount val="3"/>
                <c:pt idx="0">
                  <c:v>1.0065600000000001</c:v>
                </c:pt>
                <c:pt idx="1">
                  <c:v>1.1743535520000001</c:v>
                </c:pt>
                <c:pt idx="2">
                  <c:v>1.1743535520000001</c:v>
                </c:pt>
              </c:numCache>
            </c:numRef>
          </c:val>
          <c:extLst>
            <c:ext xmlns:c16="http://schemas.microsoft.com/office/drawing/2014/chart" uri="{C3380CC4-5D6E-409C-BE32-E72D297353CC}">
              <c16:uniqueId val="{00000005-E226-4568-A55A-74667567AA84}"/>
            </c:ext>
          </c:extLst>
        </c:ser>
        <c:ser>
          <c:idx val="6"/>
          <c:order val="6"/>
          <c:tx>
            <c:strRef>
              <c:f>Grafer!$B$570</c:f>
              <c:strCache>
                <c:ptCount val="1"/>
                <c:pt idx="0">
                  <c:v>Benzin</c:v>
                </c:pt>
              </c:strCache>
            </c:strRef>
          </c:tx>
          <c:invertIfNegative val="0"/>
          <c:cat>
            <c:strRef>
              <c:f>Grafer!$C$563:$E$563</c:f>
              <c:strCache>
                <c:ptCount val="3"/>
                <c:pt idx="0">
                  <c:v>2018</c:v>
                </c:pt>
                <c:pt idx="1">
                  <c:v>BAU2030</c:v>
                </c:pt>
                <c:pt idx="2">
                  <c:v>BAU2050</c:v>
                </c:pt>
              </c:strCache>
            </c:strRef>
          </c:cat>
          <c:val>
            <c:numRef>
              <c:f>Grafer!$C$570:$E$570</c:f>
              <c:numCache>
                <c:formatCode>#,##0</c:formatCode>
                <c:ptCount val="3"/>
                <c:pt idx="0">
                  <c:v>1.31821794</c:v>
                </c:pt>
                <c:pt idx="1">
                  <c:v>1.2311359845000003</c:v>
                </c:pt>
                <c:pt idx="2">
                  <c:v>0.27799568729999996</c:v>
                </c:pt>
              </c:numCache>
            </c:numRef>
          </c:val>
          <c:extLst>
            <c:ext xmlns:c16="http://schemas.microsoft.com/office/drawing/2014/chart" uri="{C3380CC4-5D6E-409C-BE32-E72D297353CC}">
              <c16:uniqueId val="{00000006-E226-4568-A55A-74667567AA84}"/>
            </c:ext>
          </c:extLst>
        </c:ser>
        <c:ser>
          <c:idx val="0"/>
          <c:order val="7"/>
          <c:tx>
            <c:strRef>
              <c:f>Grafer!$B$571</c:f>
              <c:strCache>
                <c:ptCount val="1"/>
                <c:pt idx="0">
                  <c:v>Affald, ikke bionedbrydeligt</c:v>
                </c:pt>
              </c:strCache>
            </c:strRef>
          </c:tx>
          <c:invertIfNegative val="0"/>
          <c:cat>
            <c:strRef>
              <c:f>Grafer!$C$563:$E$563</c:f>
              <c:strCache>
                <c:ptCount val="3"/>
                <c:pt idx="0">
                  <c:v>2018</c:v>
                </c:pt>
                <c:pt idx="1">
                  <c:v>BAU2030</c:v>
                </c:pt>
                <c:pt idx="2">
                  <c:v>BAU2050</c:v>
                </c:pt>
              </c:strCache>
            </c:strRef>
          </c:cat>
          <c:val>
            <c:numRef>
              <c:f>Grafer!$C$571:$E$571</c:f>
              <c:numCache>
                <c:formatCode>#,##0</c:formatCode>
                <c:ptCount val="3"/>
                <c:pt idx="0">
                  <c:v>0</c:v>
                </c:pt>
                <c:pt idx="1">
                  <c:v>0</c:v>
                </c:pt>
                <c:pt idx="2">
                  <c:v>0</c:v>
                </c:pt>
              </c:numCache>
            </c:numRef>
          </c:val>
          <c:extLst>
            <c:ext xmlns:c16="http://schemas.microsoft.com/office/drawing/2014/chart" uri="{C3380CC4-5D6E-409C-BE32-E72D297353CC}">
              <c16:uniqueId val="{00000007-E226-4568-A55A-74667567AA84}"/>
            </c:ext>
          </c:extLst>
        </c:ser>
        <c:ser>
          <c:idx val="8"/>
          <c:order val="8"/>
          <c:tx>
            <c:strRef>
              <c:f>Grafer!$B$572</c:f>
              <c:strCache>
                <c:ptCount val="1"/>
                <c:pt idx="0">
                  <c:v>Affald, bionedbrydeligt</c:v>
                </c:pt>
              </c:strCache>
            </c:strRef>
          </c:tx>
          <c:invertIfNegative val="0"/>
          <c:cat>
            <c:strRef>
              <c:f>Grafer!$C$563:$E$563</c:f>
              <c:strCache>
                <c:ptCount val="3"/>
                <c:pt idx="0">
                  <c:v>2018</c:v>
                </c:pt>
                <c:pt idx="1">
                  <c:v>BAU2030</c:v>
                </c:pt>
                <c:pt idx="2">
                  <c:v>BAU2050</c:v>
                </c:pt>
              </c:strCache>
            </c:strRef>
          </c:cat>
          <c:val>
            <c:numRef>
              <c:f>Grafer!$C$572:$E$572</c:f>
              <c:numCache>
                <c:formatCode>#,##0</c:formatCode>
                <c:ptCount val="3"/>
                <c:pt idx="0">
                  <c:v>0</c:v>
                </c:pt>
                <c:pt idx="1">
                  <c:v>0</c:v>
                </c:pt>
                <c:pt idx="2">
                  <c:v>0</c:v>
                </c:pt>
              </c:numCache>
            </c:numRef>
          </c:val>
          <c:extLst>
            <c:ext xmlns:c16="http://schemas.microsoft.com/office/drawing/2014/chart" uri="{C3380CC4-5D6E-409C-BE32-E72D297353CC}">
              <c16:uniqueId val="{00000008-E226-4568-A55A-74667567AA84}"/>
            </c:ext>
          </c:extLst>
        </c:ser>
        <c:ser>
          <c:idx val="9"/>
          <c:order val="9"/>
          <c:tx>
            <c:strRef>
              <c:f>Grafer!$B$573</c:f>
              <c:strCache>
                <c:ptCount val="1"/>
                <c:pt idx="0">
                  <c:v>Biomasse</c:v>
                </c:pt>
              </c:strCache>
            </c:strRef>
          </c:tx>
          <c:invertIfNegative val="0"/>
          <c:cat>
            <c:strRef>
              <c:f>Grafer!$C$563:$E$563</c:f>
              <c:strCache>
                <c:ptCount val="3"/>
                <c:pt idx="0">
                  <c:v>2018</c:v>
                </c:pt>
                <c:pt idx="1">
                  <c:v>BAU2030</c:v>
                </c:pt>
                <c:pt idx="2">
                  <c:v>BAU2050</c:v>
                </c:pt>
              </c:strCache>
            </c:strRef>
          </c:cat>
          <c:val>
            <c:numRef>
              <c:f>Grafer!$C$573:$E$573</c:f>
              <c:numCache>
                <c:formatCode>#,##0</c:formatCode>
                <c:ptCount val="3"/>
                <c:pt idx="0">
                  <c:v>0</c:v>
                </c:pt>
                <c:pt idx="1">
                  <c:v>0</c:v>
                </c:pt>
                <c:pt idx="2">
                  <c:v>0</c:v>
                </c:pt>
              </c:numCache>
            </c:numRef>
          </c:val>
          <c:extLst>
            <c:ext xmlns:c16="http://schemas.microsoft.com/office/drawing/2014/chart" uri="{C3380CC4-5D6E-409C-BE32-E72D297353CC}">
              <c16:uniqueId val="{00000009-E226-4568-A55A-74667567AA84}"/>
            </c:ext>
          </c:extLst>
        </c:ser>
        <c:ser>
          <c:idx val="10"/>
          <c:order val="10"/>
          <c:tx>
            <c:strRef>
              <c:f>Grafer!$B$574</c:f>
              <c:strCache>
                <c:ptCount val="1"/>
                <c:pt idx="0">
                  <c:v>Vindenergi</c:v>
                </c:pt>
              </c:strCache>
            </c:strRef>
          </c:tx>
          <c:invertIfNegative val="0"/>
          <c:cat>
            <c:strRef>
              <c:f>Grafer!$C$563:$E$563</c:f>
              <c:strCache>
                <c:ptCount val="3"/>
                <c:pt idx="0">
                  <c:v>2018</c:v>
                </c:pt>
                <c:pt idx="1">
                  <c:v>BAU2030</c:v>
                </c:pt>
                <c:pt idx="2">
                  <c:v>BAU2050</c:v>
                </c:pt>
              </c:strCache>
            </c:strRef>
          </c:cat>
          <c:val>
            <c:numRef>
              <c:f>Grafer!$C$574:$E$574</c:f>
              <c:numCache>
                <c:formatCode>#,##0</c:formatCode>
                <c:ptCount val="3"/>
                <c:pt idx="0">
                  <c:v>0</c:v>
                </c:pt>
                <c:pt idx="1">
                  <c:v>0</c:v>
                </c:pt>
                <c:pt idx="2">
                  <c:v>0</c:v>
                </c:pt>
              </c:numCache>
            </c:numRef>
          </c:val>
          <c:extLst>
            <c:ext xmlns:c16="http://schemas.microsoft.com/office/drawing/2014/chart" uri="{C3380CC4-5D6E-409C-BE32-E72D297353CC}">
              <c16:uniqueId val="{0000000A-E226-4568-A55A-74667567AA84}"/>
            </c:ext>
          </c:extLst>
        </c:ser>
        <c:ser>
          <c:idx val="11"/>
          <c:order val="11"/>
          <c:tx>
            <c:strRef>
              <c:f>Grafer!$B$575</c:f>
              <c:strCache>
                <c:ptCount val="1"/>
                <c:pt idx="0">
                  <c:v>Biogas</c:v>
                </c:pt>
              </c:strCache>
            </c:strRef>
          </c:tx>
          <c:invertIfNegative val="0"/>
          <c:cat>
            <c:strRef>
              <c:f>Grafer!$C$563:$E$563</c:f>
              <c:strCache>
                <c:ptCount val="3"/>
                <c:pt idx="0">
                  <c:v>2018</c:v>
                </c:pt>
                <c:pt idx="1">
                  <c:v>BAU2030</c:v>
                </c:pt>
                <c:pt idx="2">
                  <c:v>BAU2050</c:v>
                </c:pt>
              </c:strCache>
            </c:strRef>
          </c:cat>
          <c:val>
            <c:numRef>
              <c:f>Grafer!$C$575:$E$575</c:f>
              <c:numCache>
                <c:formatCode>#,##0</c:formatCode>
                <c:ptCount val="3"/>
                <c:pt idx="0">
                  <c:v>0</c:v>
                </c:pt>
                <c:pt idx="1">
                  <c:v>0</c:v>
                </c:pt>
                <c:pt idx="2">
                  <c:v>0</c:v>
                </c:pt>
              </c:numCache>
            </c:numRef>
          </c:val>
          <c:extLst>
            <c:ext xmlns:c16="http://schemas.microsoft.com/office/drawing/2014/chart" uri="{C3380CC4-5D6E-409C-BE32-E72D297353CC}">
              <c16:uniqueId val="{0000000B-E226-4568-A55A-74667567AA84}"/>
            </c:ext>
          </c:extLst>
        </c:ser>
        <c:ser>
          <c:idx val="12"/>
          <c:order val="12"/>
          <c:tx>
            <c:strRef>
              <c:f>Grafer!$B$576</c:f>
              <c:strCache>
                <c:ptCount val="1"/>
                <c:pt idx="0">
                  <c:v>Solenergi</c:v>
                </c:pt>
              </c:strCache>
            </c:strRef>
          </c:tx>
          <c:invertIfNegative val="0"/>
          <c:cat>
            <c:strRef>
              <c:f>Grafer!$C$563:$E$563</c:f>
              <c:strCache>
                <c:ptCount val="3"/>
                <c:pt idx="0">
                  <c:v>2018</c:v>
                </c:pt>
                <c:pt idx="1">
                  <c:v>BAU2030</c:v>
                </c:pt>
                <c:pt idx="2">
                  <c:v>BAU2050</c:v>
                </c:pt>
              </c:strCache>
            </c:strRef>
          </c:cat>
          <c:val>
            <c:numRef>
              <c:f>Grafer!$C$576:$E$576</c:f>
              <c:numCache>
                <c:formatCode>#,##0</c:formatCode>
                <c:ptCount val="3"/>
                <c:pt idx="0">
                  <c:v>0</c:v>
                </c:pt>
                <c:pt idx="1">
                  <c:v>0</c:v>
                </c:pt>
                <c:pt idx="2">
                  <c:v>0</c:v>
                </c:pt>
              </c:numCache>
            </c:numRef>
          </c:val>
          <c:extLst>
            <c:ext xmlns:c16="http://schemas.microsoft.com/office/drawing/2014/chart" uri="{C3380CC4-5D6E-409C-BE32-E72D297353CC}">
              <c16:uniqueId val="{0000000C-E226-4568-A55A-74667567AA84}"/>
            </c:ext>
          </c:extLst>
        </c:ser>
        <c:ser>
          <c:idx val="13"/>
          <c:order val="13"/>
          <c:tx>
            <c:strRef>
              <c:f>Grafer!$B$577</c:f>
              <c:strCache>
                <c:ptCount val="1"/>
                <c:pt idx="0">
                  <c:v>Jordvarme, geotermi, vandkraft mm.</c:v>
                </c:pt>
              </c:strCache>
            </c:strRef>
          </c:tx>
          <c:invertIfNegative val="0"/>
          <c:cat>
            <c:strRef>
              <c:f>Grafer!$C$563:$E$563</c:f>
              <c:strCache>
                <c:ptCount val="3"/>
                <c:pt idx="0">
                  <c:v>2018</c:v>
                </c:pt>
                <c:pt idx="1">
                  <c:v>BAU2030</c:v>
                </c:pt>
                <c:pt idx="2">
                  <c:v>BAU2050</c:v>
                </c:pt>
              </c:strCache>
            </c:strRef>
          </c:cat>
          <c:val>
            <c:numRef>
              <c:f>Grafer!$C$577:$E$577</c:f>
              <c:numCache>
                <c:formatCode>#,##0</c:formatCode>
                <c:ptCount val="3"/>
                <c:pt idx="0">
                  <c:v>0</c:v>
                </c:pt>
                <c:pt idx="1">
                  <c:v>0</c:v>
                </c:pt>
                <c:pt idx="2">
                  <c:v>0</c:v>
                </c:pt>
              </c:numCache>
            </c:numRef>
          </c:val>
          <c:extLst>
            <c:ext xmlns:c16="http://schemas.microsoft.com/office/drawing/2014/chart" uri="{C3380CC4-5D6E-409C-BE32-E72D297353CC}">
              <c16:uniqueId val="{0000000D-E226-4568-A55A-74667567AA84}"/>
            </c:ext>
          </c:extLst>
        </c:ser>
        <c:dLbls>
          <c:showLegendKey val="0"/>
          <c:showVal val="0"/>
          <c:showCatName val="0"/>
          <c:showSerName val="0"/>
          <c:showPercent val="0"/>
          <c:showBubbleSize val="0"/>
        </c:dLbls>
        <c:gapWidth val="150"/>
        <c:overlap val="100"/>
        <c:axId val="422227304"/>
        <c:axId val="422224952"/>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Grafer!$B$110</c:f>
              <c:strCache>
                <c:ptCount val="1"/>
                <c:pt idx="0">
                  <c:v>Affald, bionedbrydeligt</c:v>
                </c:pt>
              </c:strCache>
            </c:strRef>
          </c:tx>
          <c:invertIfNegative val="0"/>
          <c:cat>
            <c:strRef>
              <c:f>Grafer!$C$101:$E$101</c:f>
              <c:strCache>
                <c:ptCount val="3"/>
                <c:pt idx="0">
                  <c:v>2018</c:v>
                </c:pt>
                <c:pt idx="1">
                  <c:v>BAU2030</c:v>
                </c:pt>
                <c:pt idx="2">
                  <c:v>BAU2050</c:v>
                </c:pt>
              </c:strCache>
            </c:strRef>
          </c:cat>
          <c:val>
            <c:numRef>
              <c:f>Grafer!$C$110:$E$110</c:f>
              <c:numCache>
                <c:formatCode>#,##0</c:formatCode>
                <c:ptCount val="3"/>
                <c:pt idx="0">
                  <c:v>0</c:v>
                </c:pt>
                <c:pt idx="1">
                  <c:v>0</c:v>
                </c:pt>
                <c:pt idx="2">
                  <c:v>0</c:v>
                </c:pt>
              </c:numCache>
            </c:numRef>
          </c:val>
          <c:extLst>
            <c:ext xmlns:c16="http://schemas.microsoft.com/office/drawing/2014/chart" uri="{C3380CC4-5D6E-409C-BE32-E72D297353CC}">
              <c16:uniqueId val="{00000000-522F-4900-ADC0-C1BF95203805}"/>
            </c:ext>
          </c:extLst>
        </c:ser>
        <c:ser>
          <c:idx val="1"/>
          <c:order val="1"/>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71.532429999999991</c:v>
                </c:pt>
                <c:pt idx="1">
                  <c:v>73.548667590999997</c:v>
                </c:pt>
                <c:pt idx="2">
                  <c:v>70.268807810999988</c:v>
                </c:pt>
              </c:numCache>
            </c:numRef>
          </c:val>
          <c:extLst>
            <c:ext xmlns:c16="http://schemas.microsoft.com/office/drawing/2014/chart" uri="{C3380CC4-5D6E-409C-BE32-E72D297353CC}">
              <c16:uniqueId val="{00000001-522F-4900-ADC0-C1BF95203805}"/>
            </c:ext>
          </c:extLst>
        </c:ser>
        <c:ser>
          <c:idx val="2"/>
          <c:order val="2"/>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0.5</c:v>
                </c:pt>
                <c:pt idx="1">
                  <c:v>-6.9644848000000037E-2</c:v>
                </c:pt>
                <c:pt idx="2">
                  <c:v>-6.9644848000000037E-2</c:v>
                </c:pt>
              </c:numCache>
            </c:numRef>
          </c:val>
          <c:extLst>
            <c:ext xmlns:c16="http://schemas.microsoft.com/office/drawing/2014/chart" uri="{C3380CC4-5D6E-409C-BE32-E72D297353CC}">
              <c16:uniqueId val="{00000002-522F-4900-ADC0-C1BF95203805}"/>
            </c:ext>
          </c:extLst>
        </c:ser>
        <c:ser>
          <c:idx val="3"/>
          <c:order val="3"/>
          <c:tx>
            <c:strRef>
              <c:f>Grafer!$B$113</c:f>
              <c:strCache>
                <c:ptCount val="1"/>
                <c:pt idx="0">
                  <c:v>Biogas</c:v>
                </c:pt>
              </c:strCache>
            </c:strRef>
          </c:tx>
          <c:invertIfNegative val="0"/>
          <c:cat>
            <c:strRef>
              <c:f>Grafer!$C$101:$E$101</c:f>
              <c:strCache>
                <c:ptCount val="3"/>
                <c:pt idx="0">
                  <c:v>2018</c:v>
                </c:pt>
                <c:pt idx="1">
                  <c:v>BAU2030</c:v>
                </c:pt>
                <c:pt idx="2">
                  <c:v>BAU2050</c:v>
                </c:pt>
              </c:strCache>
            </c:strRef>
          </c:cat>
          <c:val>
            <c:numRef>
              <c:f>Grafer!$C$113:$E$113</c:f>
              <c:numCache>
                <c:formatCode>#,##0</c:formatCode>
                <c:ptCount val="3"/>
                <c:pt idx="0">
                  <c:v>0</c:v>
                </c:pt>
                <c:pt idx="1">
                  <c:v>0</c:v>
                </c:pt>
                <c:pt idx="2">
                  <c:v>0</c:v>
                </c:pt>
              </c:numCache>
            </c:numRef>
          </c:val>
          <c:extLst>
            <c:ext xmlns:c16="http://schemas.microsoft.com/office/drawing/2014/chart" uri="{C3380CC4-5D6E-409C-BE32-E72D297353CC}">
              <c16:uniqueId val="{00000003-522F-4900-ADC0-C1BF95203805}"/>
            </c:ext>
          </c:extLst>
        </c:ser>
        <c:ser>
          <c:idx val="4"/>
          <c:order val="4"/>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19.05</c:v>
                </c:pt>
                <c:pt idx="1">
                  <c:v>19.0136</c:v>
                </c:pt>
                <c:pt idx="2">
                  <c:v>18.959</c:v>
                </c:pt>
              </c:numCache>
            </c:numRef>
          </c:val>
          <c:extLst>
            <c:ext xmlns:c16="http://schemas.microsoft.com/office/drawing/2014/chart" uri="{C3380CC4-5D6E-409C-BE32-E72D297353CC}">
              <c16:uniqueId val="{00000004-522F-4900-ADC0-C1BF95203805}"/>
            </c:ext>
          </c:extLst>
        </c:ser>
        <c:ser>
          <c:idx val="5"/>
          <c:order val="5"/>
          <c:tx>
            <c:strRef>
              <c:f>Grafer!$B$115</c:f>
              <c:strCache>
                <c:ptCount val="1"/>
                <c:pt idx="0">
                  <c:v>Jordvarme, geotermi, vandkraft mm.</c:v>
                </c:pt>
              </c:strCache>
            </c:strRef>
          </c:tx>
          <c:invertIfNegative val="0"/>
          <c:cat>
            <c:strRef>
              <c:f>Grafer!$C$101:$E$101</c:f>
              <c:strCache>
                <c:ptCount val="3"/>
                <c:pt idx="0">
                  <c:v>2018</c:v>
                </c:pt>
                <c:pt idx="1">
                  <c:v>BAU2030</c:v>
                </c:pt>
                <c:pt idx="2">
                  <c:v>BAU2050</c:v>
                </c:pt>
              </c:strCache>
            </c:strRef>
          </c:cat>
          <c:val>
            <c:numRef>
              <c:f>Grafer!$C$115:$E$115</c:f>
              <c:numCache>
                <c:formatCode>#,##0</c:formatCode>
                <c:ptCount val="3"/>
                <c:pt idx="0">
                  <c:v>1.0999999999999999</c:v>
                </c:pt>
                <c:pt idx="1">
                  <c:v>8.0557999999999996</c:v>
                </c:pt>
                <c:pt idx="2">
                  <c:v>10.247</c:v>
                </c:pt>
              </c:numCache>
            </c:numRef>
          </c:val>
          <c:extLst>
            <c:ext xmlns:c16="http://schemas.microsoft.com/office/drawing/2014/chart" uri="{C3380CC4-5D6E-409C-BE32-E72D297353CC}">
              <c16:uniqueId val="{00000005-522F-4900-ADC0-C1BF95203805}"/>
            </c:ext>
          </c:extLst>
        </c:ser>
        <c:ser>
          <c:idx val="6"/>
          <c:order val="6"/>
          <c:tx>
            <c:strRef>
              <c:f>Grafer!$B$116</c:f>
              <c:strCache>
                <c:ptCount val="1"/>
                <c:pt idx="0">
                  <c:v>Elimport (VE-baseret)</c:v>
                </c:pt>
              </c:strCache>
            </c:strRef>
          </c:tx>
          <c:invertIfNegative val="0"/>
          <c:cat>
            <c:strRef>
              <c:f>Grafer!$C$101:$E$101</c:f>
              <c:strCache>
                <c:ptCount val="3"/>
                <c:pt idx="0">
                  <c:v>2018</c:v>
                </c:pt>
                <c:pt idx="1">
                  <c:v>BAU2030</c:v>
                </c:pt>
                <c:pt idx="2">
                  <c:v>BAU2050</c:v>
                </c:pt>
              </c:strCache>
            </c:strRef>
          </c:cat>
          <c:val>
            <c:numRef>
              <c:f>Grafer!$C$116:$E$116</c:f>
              <c:numCache>
                <c:formatCode>#,##0</c:formatCode>
                <c:ptCount val="3"/>
                <c:pt idx="0">
                  <c:v>16.056524748720033</c:v>
                </c:pt>
                <c:pt idx="1">
                  <c:v>44.480998126055781</c:v>
                </c:pt>
                <c:pt idx="2">
                  <c:v>54.220481603592688</c:v>
                </c:pt>
              </c:numCache>
            </c:numRef>
          </c:val>
          <c:extLst>
            <c:ext xmlns:c16="http://schemas.microsoft.com/office/drawing/2014/chart" uri="{C3380CC4-5D6E-409C-BE32-E72D297353CC}">
              <c16:uniqueId val="{00000006-522F-4900-ADC0-C1BF95203805}"/>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Grafer!$B$305</c:f>
              <c:strCache>
                <c:ptCount val="1"/>
                <c:pt idx="0">
                  <c:v>Individuel opvarmning</c:v>
                </c:pt>
              </c:strCache>
            </c:strRef>
          </c:tx>
          <c:invertIfNegative val="0"/>
          <c:cat>
            <c:strRef>
              <c:f>Grafer!$C$304:$E$304</c:f>
              <c:strCache>
                <c:ptCount val="3"/>
                <c:pt idx="0">
                  <c:v>2018</c:v>
                </c:pt>
                <c:pt idx="1">
                  <c:v>BAU2030</c:v>
                </c:pt>
                <c:pt idx="2">
                  <c:v>BAU2050</c:v>
                </c:pt>
              </c:strCache>
            </c:strRef>
          </c:cat>
          <c:val>
            <c:numRef>
              <c:f>Grafer!$C$305:$E$305</c:f>
              <c:numCache>
                <c:formatCode>#,##0</c:formatCode>
                <c:ptCount val="3"/>
                <c:pt idx="0">
                  <c:v>63.169999999999995</c:v>
                </c:pt>
                <c:pt idx="1">
                  <c:v>55.099200000000003</c:v>
                </c:pt>
                <c:pt idx="2">
                  <c:v>49.427999999999997</c:v>
                </c:pt>
              </c:numCache>
            </c:numRef>
          </c:val>
          <c:extLst>
            <c:ext xmlns:c16="http://schemas.microsoft.com/office/drawing/2014/chart" uri="{C3380CC4-5D6E-409C-BE32-E72D297353CC}">
              <c16:uniqueId val="{00000000-2D13-4958-BA89-429D5BF8ACBA}"/>
            </c:ext>
          </c:extLst>
        </c:ser>
        <c:ser>
          <c:idx val="1"/>
          <c:order val="1"/>
          <c:tx>
            <c:strRef>
              <c:f>Grafer!$B$306</c:f>
              <c:strCache>
                <c:ptCount val="1"/>
                <c:pt idx="0">
                  <c:v>Kollektiv el- og varmeforsyning</c:v>
                </c:pt>
              </c:strCache>
            </c:strRef>
          </c:tx>
          <c:invertIfNegative val="0"/>
          <c:cat>
            <c:strRef>
              <c:f>Grafer!$C$304:$E$304</c:f>
              <c:strCache>
                <c:ptCount val="3"/>
                <c:pt idx="0">
                  <c:v>2018</c:v>
                </c:pt>
                <c:pt idx="1">
                  <c:v>BAU2030</c:v>
                </c:pt>
                <c:pt idx="2">
                  <c:v>BAU2050</c:v>
                </c:pt>
              </c:strCache>
            </c:strRef>
          </c:cat>
          <c:val>
            <c:numRef>
              <c:f>Grafer!$C$306:$E$306</c:f>
              <c:numCache>
                <c:formatCode>#,##0</c:formatCode>
                <c:ptCount val="3"/>
                <c:pt idx="0">
                  <c:v>21.718</c:v>
                </c:pt>
                <c:pt idx="1">
                  <c:v>20.849279999999997</c:v>
                </c:pt>
                <c:pt idx="2">
                  <c:v>19.546199999999999</c:v>
                </c:pt>
              </c:numCache>
            </c:numRef>
          </c:val>
          <c:extLst>
            <c:ext xmlns:c16="http://schemas.microsoft.com/office/drawing/2014/chart" uri="{C3380CC4-5D6E-409C-BE32-E72D297353CC}">
              <c16:uniqueId val="{00000001-2D13-4958-BA89-429D5BF8ACBA}"/>
            </c:ext>
          </c:extLst>
        </c:ser>
        <c:ser>
          <c:idx val="2"/>
          <c:order val="2"/>
          <c:tx>
            <c:strRef>
              <c:f>Grafer!$B$307</c:f>
              <c:strCache>
                <c:ptCount val="1"/>
                <c:pt idx="0">
                  <c:v>Industri</c:v>
                </c:pt>
              </c:strCache>
            </c:strRef>
          </c:tx>
          <c:invertIfNegative val="0"/>
          <c:cat>
            <c:strRef>
              <c:f>Grafer!$C$304:$E$304</c:f>
              <c:strCache>
                <c:ptCount val="3"/>
                <c:pt idx="0">
                  <c:v>2018</c:v>
                </c:pt>
                <c:pt idx="1">
                  <c:v>BAU2030</c:v>
                </c:pt>
                <c:pt idx="2">
                  <c:v>BAU2050</c:v>
                </c:pt>
              </c:strCache>
            </c:strRef>
          </c:cat>
          <c:val>
            <c:numRef>
              <c:f>Grafer!$C$307:$E$307</c:f>
              <c:numCache>
                <c:formatCode>#,##0</c:formatCode>
                <c:ptCount val="3"/>
                <c:pt idx="0">
                  <c:v>10.89</c:v>
                </c:pt>
                <c:pt idx="1">
                  <c:v>10.89</c:v>
                </c:pt>
                <c:pt idx="2">
                  <c:v>10.89</c:v>
                </c:pt>
              </c:numCache>
            </c:numRef>
          </c:val>
          <c:extLst>
            <c:ext xmlns:c16="http://schemas.microsoft.com/office/drawing/2014/chart" uri="{C3380CC4-5D6E-409C-BE32-E72D297353CC}">
              <c16:uniqueId val="{00000002-2D13-4958-BA89-429D5BF8ACBA}"/>
            </c:ext>
          </c:extLst>
        </c:ser>
        <c:ser>
          <c:idx val="3"/>
          <c:order val="3"/>
          <c:tx>
            <c:strRef>
              <c:f>Grafer!$B$308</c:f>
              <c:strCache>
                <c:ptCount val="1"/>
                <c:pt idx="0">
                  <c:v>Transport</c:v>
                </c:pt>
              </c:strCache>
            </c:strRef>
          </c:tx>
          <c:invertIfNegative val="0"/>
          <c:cat>
            <c:strRef>
              <c:f>Grafer!$C$304:$E$304</c:f>
              <c:strCache>
                <c:ptCount val="3"/>
                <c:pt idx="0">
                  <c:v>2018</c:v>
                </c:pt>
                <c:pt idx="1">
                  <c:v>BAU2030</c:v>
                </c:pt>
                <c:pt idx="2">
                  <c:v>BAU2050</c:v>
                </c:pt>
              </c:strCache>
            </c:strRef>
          </c:cat>
          <c:val>
            <c:numRef>
              <c:f>Grafer!$C$308:$E$308</c:f>
              <c:numCache>
                <c:formatCode>#,##0</c:formatCode>
                <c:ptCount val="3"/>
                <c:pt idx="0">
                  <c:v>92.626000000000019</c:v>
                </c:pt>
                <c:pt idx="1">
                  <c:v>89.15444353800001</c:v>
                </c:pt>
                <c:pt idx="2">
                  <c:v>66.322825300000005</c:v>
                </c:pt>
              </c:numCache>
            </c:numRef>
          </c:val>
          <c:extLst>
            <c:ext xmlns:c16="http://schemas.microsoft.com/office/drawing/2014/chart" uri="{C3380CC4-5D6E-409C-BE32-E72D297353CC}">
              <c16:uniqueId val="{00000003-2D13-4958-BA89-429D5BF8ACBA}"/>
            </c:ext>
          </c:extLst>
        </c:ser>
        <c:ser>
          <c:idx val="4"/>
          <c:order val="4"/>
          <c:tx>
            <c:strRef>
              <c:f>Grafer!$B$309</c:f>
              <c:strCache>
                <c:ptCount val="1"/>
                <c:pt idx="0">
                  <c:v>Vindkraft mm.</c:v>
                </c:pt>
              </c:strCache>
            </c:strRef>
          </c:tx>
          <c:invertIfNegative val="0"/>
          <c:cat>
            <c:strRef>
              <c:f>Grafer!$C$304:$E$304</c:f>
              <c:strCache>
                <c:ptCount val="3"/>
                <c:pt idx="0">
                  <c:v>2018</c:v>
                </c:pt>
                <c:pt idx="1">
                  <c:v>BAU2030</c:v>
                </c:pt>
                <c:pt idx="2">
                  <c:v>BAU2050</c:v>
                </c:pt>
              </c:strCache>
            </c:strRef>
          </c:cat>
          <c:val>
            <c:numRef>
              <c:f>Grafer!$C$309:$E$309</c:f>
              <c:numCache>
                <c:formatCode>#,##0</c:formatCode>
                <c:ptCount val="3"/>
                <c:pt idx="0">
                  <c:v>18.64</c:v>
                </c:pt>
                <c:pt idx="1">
                  <c:v>18.417355152000003</c:v>
                </c:pt>
                <c:pt idx="2">
                  <c:v>18.417355152000003</c:v>
                </c:pt>
              </c:numCache>
            </c:numRef>
          </c:val>
          <c:extLst>
            <c:ext xmlns:c16="http://schemas.microsoft.com/office/drawing/2014/chart" uri="{C3380CC4-5D6E-409C-BE32-E72D297353CC}">
              <c16:uniqueId val="{00000004-2D13-4958-BA89-429D5BF8ACBA}"/>
            </c:ext>
          </c:extLst>
        </c:ser>
        <c:ser>
          <c:idx val="5"/>
          <c:order val="5"/>
          <c:tx>
            <c:strRef>
              <c:f>Grafer!$B$310</c:f>
              <c:strCache>
                <c:ptCount val="1"/>
                <c:pt idx="0">
                  <c:v>El-import</c:v>
                </c:pt>
              </c:strCache>
            </c:strRef>
          </c:tx>
          <c:invertIfNegative val="0"/>
          <c:cat>
            <c:strRef>
              <c:f>Grafer!$C$304:$E$304</c:f>
              <c:strCache>
                <c:ptCount val="3"/>
                <c:pt idx="0">
                  <c:v>2018</c:v>
                </c:pt>
                <c:pt idx="1">
                  <c:v>BAU2030</c:v>
                </c:pt>
                <c:pt idx="2">
                  <c:v>BAU2050</c:v>
                </c:pt>
              </c:strCache>
            </c:strRef>
          </c:cat>
          <c:val>
            <c:numRef>
              <c:f>Grafer!$C$310:$E$310</c:f>
              <c:numCache>
                <c:formatCode>#,##0</c:formatCode>
                <c:ptCount val="3"/>
                <c:pt idx="0">
                  <c:v>36.492101701636436</c:v>
                </c:pt>
                <c:pt idx="1">
                  <c:v>44.480998126055781</c:v>
                </c:pt>
                <c:pt idx="2">
                  <c:v>54.220481603592688</c:v>
                </c:pt>
              </c:numCache>
            </c:numRef>
          </c:val>
          <c:extLst>
            <c:ext xmlns:c16="http://schemas.microsoft.com/office/drawing/2014/chart" uri="{C3380CC4-5D6E-409C-BE32-E72D297353CC}">
              <c16:uniqueId val="{00000005-2D13-4958-BA89-429D5BF8ACBA}"/>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0972222223144E-2"/>
          <c:y val="3.465346534653465E-2"/>
          <c:w val="0.62995638888888894"/>
          <c:h val="0.82134747474747483"/>
        </c:manualLayout>
      </c:layout>
      <c:barChart>
        <c:barDir val="col"/>
        <c:grouping val="stacked"/>
        <c:varyColors val="0"/>
        <c:ser>
          <c:idx val="0"/>
          <c:order val="0"/>
          <c:tx>
            <c:strRef>
              <c:f>Grafer!$B$305</c:f>
              <c:strCache>
                <c:ptCount val="1"/>
                <c:pt idx="0">
                  <c:v>Individuel opvarmning</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Grafer!$C$305:$K$305</c:f>
              <c:numCache>
                <c:formatCode>#,##0</c:formatCode>
                <c:ptCount val="9"/>
                <c:pt idx="0">
                  <c:v>63.169999999999995</c:v>
                </c:pt>
                <c:pt idx="1">
                  <c:v>55.099200000000003</c:v>
                </c:pt>
                <c:pt idx="2">
                  <c:v>49.427999999999997</c:v>
                </c:pt>
                <c:pt idx="3">
                  <c:v>0</c:v>
                </c:pt>
                <c:pt idx="4">
                  <c:v>0</c:v>
                </c:pt>
                <c:pt idx="5">
                  <c:v>0</c:v>
                </c:pt>
                <c:pt idx="6">
                  <c:v>0</c:v>
                </c:pt>
                <c:pt idx="7">
                  <c:v>0</c:v>
                </c:pt>
                <c:pt idx="8">
                  <c:v>0</c:v>
                </c:pt>
              </c:numCache>
            </c:numRef>
          </c:val>
          <c:extLst>
            <c:ext xmlns:c16="http://schemas.microsoft.com/office/drawing/2014/chart" uri="{C3380CC4-5D6E-409C-BE32-E72D297353CC}">
              <c16:uniqueId val="{00000000-22FC-4466-AA68-A2D0C7D6CE4D}"/>
            </c:ext>
          </c:extLst>
        </c:ser>
        <c:ser>
          <c:idx val="1"/>
          <c:order val="1"/>
          <c:tx>
            <c:strRef>
              <c:f>Grafer!$B$306</c:f>
              <c:strCache>
                <c:ptCount val="1"/>
                <c:pt idx="0">
                  <c:v>Kollektiv el- og varmeforsyning</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Grafer!$C$306:$K$306</c:f>
              <c:numCache>
                <c:formatCode>#,##0</c:formatCode>
                <c:ptCount val="9"/>
                <c:pt idx="0">
                  <c:v>21.718</c:v>
                </c:pt>
                <c:pt idx="1">
                  <c:v>20.849279999999997</c:v>
                </c:pt>
                <c:pt idx="2">
                  <c:v>19.546199999999999</c:v>
                </c:pt>
                <c:pt idx="3">
                  <c:v>0</c:v>
                </c:pt>
                <c:pt idx="4">
                  <c:v>0</c:v>
                </c:pt>
                <c:pt idx="5">
                  <c:v>0</c:v>
                </c:pt>
                <c:pt idx="6">
                  <c:v>0</c:v>
                </c:pt>
                <c:pt idx="7">
                  <c:v>0</c:v>
                </c:pt>
                <c:pt idx="8">
                  <c:v>0</c:v>
                </c:pt>
              </c:numCache>
            </c:numRef>
          </c:val>
          <c:extLst>
            <c:ext xmlns:c16="http://schemas.microsoft.com/office/drawing/2014/chart" uri="{C3380CC4-5D6E-409C-BE32-E72D297353CC}">
              <c16:uniqueId val="{00000001-22FC-4466-AA68-A2D0C7D6CE4D}"/>
            </c:ext>
          </c:extLst>
        </c:ser>
        <c:ser>
          <c:idx val="2"/>
          <c:order val="2"/>
          <c:tx>
            <c:strRef>
              <c:f>Grafer!$B$307</c:f>
              <c:strCache>
                <c:ptCount val="1"/>
                <c:pt idx="0">
                  <c:v>Industri</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Grafer!$C$307:$K$307</c:f>
              <c:numCache>
                <c:formatCode>#,##0</c:formatCode>
                <c:ptCount val="9"/>
                <c:pt idx="0">
                  <c:v>10.89</c:v>
                </c:pt>
                <c:pt idx="1">
                  <c:v>10.89</c:v>
                </c:pt>
                <c:pt idx="2">
                  <c:v>10.89</c:v>
                </c:pt>
                <c:pt idx="3">
                  <c:v>0</c:v>
                </c:pt>
                <c:pt idx="4">
                  <c:v>0</c:v>
                </c:pt>
                <c:pt idx="5">
                  <c:v>0</c:v>
                </c:pt>
                <c:pt idx="6">
                  <c:v>0</c:v>
                </c:pt>
                <c:pt idx="7">
                  <c:v>0</c:v>
                </c:pt>
                <c:pt idx="8">
                  <c:v>0</c:v>
                </c:pt>
              </c:numCache>
            </c:numRef>
          </c:val>
          <c:extLst>
            <c:ext xmlns:c16="http://schemas.microsoft.com/office/drawing/2014/chart" uri="{C3380CC4-5D6E-409C-BE32-E72D297353CC}">
              <c16:uniqueId val="{00000002-22FC-4466-AA68-A2D0C7D6CE4D}"/>
            </c:ext>
          </c:extLst>
        </c:ser>
        <c:ser>
          <c:idx val="3"/>
          <c:order val="3"/>
          <c:tx>
            <c:strRef>
              <c:f>Grafer!$B$308</c:f>
              <c:strCache>
                <c:ptCount val="1"/>
                <c:pt idx="0">
                  <c:v>Transport</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Grafer!$C$308:$K$308</c:f>
              <c:numCache>
                <c:formatCode>#,##0</c:formatCode>
                <c:ptCount val="9"/>
                <c:pt idx="0">
                  <c:v>92.626000000000019</c:v>
                </c:pt>
                <c:pt idx="1">
                  <c:v>89.15444353800001</c:v>
                </c:pt>
                <c:pt idx="2">
                  <c:v>66.322825300000005</c:v>
                </c:pt>
                <c:pt idx="3">
                  <c:v>3.9024300000000003</c:v>
                </c:pt>
                <c:pt idx="4">
                  <c:v>3.7886675909999994</c:v>
                </c:pt>
                <c:pt idx="5">
                  <c:v>2.4618078109999999</c:v>
                </c:pt>
                <c:pt idx="6">
                  <c:v>88.723570000000024</c:v>
                </c:pt>
                <c:pt idx="7">
                  <c:v>85.365775947000003</c:v>
                </c:pt>
                <c:pt idx="8">
                  <c:v>63.861017489000005</c:v>
                </c:pt>
              </c:numCache>
            </c:numRef>
          </c:val>
          <c:extLst>
            <c:ext xmlns:c16="http://schemas.microsoft.com/office/drawing/2014/chart" uri="{C3380CC4-5D6E-409C-BE32-E72D297353CC}">
              <c16:uniqueId val="{00000003-22FC-4466-AA68-A2D0C7D6CE4D}"/>
            </c:ext>
          </c:extLst>
        </c:ser>
        <c:ser>
          <c:idx val="4"/>
          <c:order val="4"/>
          <c:tx>
            <c:strRef>
              <c:f>Grafer!$B$309</c:f>
              <c:strCache>
                <c:ptCount val="1"/>
                <c:pt idx="0">
                  <c:v>Vindkraft mm.</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Grafer!$C$309:$K$309</c:f>
              <c:numCache>
                <c:formatCode>#,##0</c:formatCode>
                <c:ptCount val="9"/>
                <c:pt idx="0">
                  <c:v>18.64</c:v>
                </c:pt>
                <c:pt idx="1">
                  <c:v>18.417355152000003</c:v>
                </c:pt>
                <c:pt idx="2">
                  <c:v>18.417355152000003</c:v>
                </c:pt>
                <c:pt idx="3">
                  <c:v>18.64</c:v>
                </c:pt>
                <c:pt idx="4">
                  <c:v>18.417355152000003</c:v>
                </c:pt>
                <c:pt idx="5">
                  <c:v>18.417355152000003</c:v>
                </c:pt>
                <c:pt idx="6">
                  <c:v>0</c:v>
                </c:pt>
                <c:pt idx="7">
                  <c:v>0</c:v>
                </c:pt>
                <c:pt idx="8">
                  <c:v>0</c:v>
                </c:pt>
              </c:numCache>
            </c:numRef>
          </c:val>
          <c:extLst>
            <c:ext xmlns:c16="http://schemas.microsoft.com/office/drawing/2014/chart" uri="{C3380CC4-5D6E-409C-BE32-E72D297353CC}">
              <c16:uniqueId val="{00000004-22FC-4466-AA68-A2D0C7D6CE4D}"/>
            </c:ext>
          </c:extLst>
        </c:ser>
        <c:ser>
          <c:idx val="5"/>
          <c:order val="5"/>
          <c:tx>
            <c:strRef>
              <c:f>Grafer!$B$310</c:f>
              <c:strCache>
                <c:ptCount val="1"/>
                <c:pt idx="0">
                  <c:v>El-import</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Grafer!$C$310:$K$310</c:f>
              <c:numCache>
                <c:formatCode>#,##0</c:formatCode>
                <c:ptCount val="9"/>
                <c:pt idx="0">
                  <c:v>36.492101701636436</c:v>
                </c:pt>
                <c:pt idx="1">
                  <c:v>44.480998126055781</c:v>
                </c:pt>
                <c:pt idx="2">
                  <c:v>54.220481603592688</c:v>
                </c:pt>
                <c:pt idx="3">
                  <c:v>16.056524748720033</c:v>
                </c:pt>
                <c:pt idx="4">
                  <c:v>44.480998126055781</c:v>
                </c:pt>
                <c:pt idx="5">
                  <c:v>54.220481603592688</c:v>
                </c:pt>
                <c:pt idx="6">
                  <c:v>20.435576952916403</c:v>
                </c:pt>
                <c:pt idx="7">
                  <c:v>0</c:v>
                </c:pt>
                <c:pt idx="8">
                  <c:v>0</c:v>
                </c:pt>
              </c:numCache>
            </c:numRef>
          </c:val>
          <c:extLst>
            <c:ext xmlns:c16="http://schemas.microsoft.com/office/drawing/2014/chart" uri="{C3380CC4-5D6E-409C-BE32-E72D297353CC}">
              <c16:uniqueId val="{00000005-22FC-4466-AA68-A2D0C7D6CE4D}"/>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f>Grafer!$C$642:$E$642</c:f>
              <c:strCache>
                <c:ptCount val="3"/>
                <c:pt idx="0">
                  <c:v>2018</c:v>
                </c:pt>
                <c:pt idx="1">
                  <c:v>BAU2030</c:v>
                </c:pt>
                <c:pt idx="2">
                  <c:v>BAU2050</c:v>
                </c:pt>
              </c:strCache>
            </c:strRef>
          </c:cat>
          <c:val>
            <c:numRef>
              <c:f>Grafer!$C$643:$E$643</c:f>
              <c:numCache>
                <c:formatCode>#,##0</c:formatCode>
                <c:ptCount val="3"/>
                <c:pt idx="0">
                  <c:v>1.8314999999999999</c:v>
                </c:pt>
                <c:pt idx="1">
                  <c:v>0.52747199999999994</c:v>
                </c:pt>
                <c:pt idx="2">
                  <c:v>0</c:v>
                </c:pt>
              </c:numCache>
            </c:numRef>
          </c:val>
          <c:extLst>
            <c:ext xmlns:c16="http://schemas.microsoft.com/office/drawing/2014/chart" uri="{C3380CC4-5D6E-409C-BE32-E72D297353CC}">
              <c16:uniqueId val="{00000000-11F9-4D25-B0AE-2804005DC64A}"/>
            </c:ext>
          </c:extLst>
        </c:ser>
        <c:ser>
          <c:idx val="1"/>
          <c:order val="1"/>
          <c:tx>
            <c:strRef>
              <c:f>Grafer!$B$644</c:f>
              <c:strCache>
                <c:ptCount val="1"/>
                <c:pt idx="0">
                  <c:v>Kollektiv el- og varmeforsyning</c:v>
                </c:pt>
              </c:strCache>
            </c:strRef>
          </c:tx>
          <c:invertIfNegative val="0"/>
          <c:cat>
            <c:strRef>
              <c:f>Grafer!$C$642:$E$642</c:f>
              <c:strCache>
                <c:ptCount val="3"/>
                <c:pt idx="0">
                  <c:v>2018</c:v>
                </c:pt>
                <c:pt idx="1">
                  <c:v>BAU2030</c:v>
                </c:pt>
                <c:pt idx="2">
                  <c:v>BAU2050</c:v>
                </c:pt>
              </c:strCache>
            </c:strRef>
          </c:cat>
          <c:val>
            <c:numRef>
              <c:f>Grafer!$C$644:$E$644</c:f>
              <c:numCache>
                <c:formatCode>#,##0</c:formatCode>
                <c:ptCount val="3"/>
                <c:pt idx="0">
                  <c:v>3.6851999999999996E-2</c:v>
                </c:pt>
                <c:pt idx="1">
                  <c:v>3.537792E-2</c:v>
                </c:pt>
                <c:pt idx="2">
                  <c:v>3.3166800000000003E-2</c:v>
                </c:pt>
              </c:numCache>
            </c:numRef>
          </c:val>
          <c:extLst>
            <c:ext xmlns:c16="http://schemas.microsoft.com/office/drawing/2014/chart" uri="{C3380CC4-5D6E-409C-BE32-E72D297353CC}">
              <c16:uniqueId val="{00000001-11F9-4D25-B0AE-2804005DC64A}"/>
            </c:ext>
          </c:extLst>
        </c:ser>
        <c:ser>
          <c:idx val="2"/>
          <c:order val="2"/>
          <c:tx>
            <c:strRef>
              <c:f>Grafer!$B$645</c:f>
              <c:strCache>
                <c:ptCount val="1"/>
                <c:pt idx="0">
                  <c:v>Industri</c:v>
                </c:pt>
              </c:strCache>
            </c:strRef>
          </c:tx>
          <c:invertIfNegative val="0"/>
          <c:cat>
            <c:strRef>
              <c:f>Grafer!$C$642:$E$642</c:f>
              <c:strCache>
                <c:ptCount val="3"/>
                <c:pt idx="0">
                  <c:v>2018</c:v>
                </c:pt>
                <c:pt idx="1">
                  <c:v>BAU2030</c:v>
                </c:pt>
                <c:pt idx="2">
                  <c:v>BAU2050</c:v>
                </c:pt>
              </c:strCache>
            </c:strRef>
          </c:cat>
          <c:val>
            <c:numRef>
              <c:f>Grafer!$C$645:$E$645</c:f>
              <c:numCache>
                <c:formatCode>#,##0</c:formatCode>
                <c:ptCount val="3"/>
                <c:pt idx="0">
                  <c:v>5.6159000000000001E-2</c:v>
                </c:pt>
                <c:pt idx="1">
                  <c:v>5.6159000000000001E-2</c:v>
                </c:pt>
                <c:pt idx="2">
                  <c:v>5.6159000000000001E-2</c:v>
                </c:pt>
              </c:numCache>
            </c:numRef>
          </c:val>
          <c:extLst>
            <c:ext xmlns:c16="http://schemas.microsoft.com/office/drawing/2014/chart" uri="{C3380CC4-5D6E-409C-BE32-E72D297353CC}">
              <c16:uniqueId val="{00000002-11F9-4D25-B0AE-2804005DC64A}"/>
            </c:ext>
          </c:extLst>
        </c:ser>
        <c:ser>
          <c:idx val="3"/>
          <c:order val="3"/>
          <c:tx>
            <c:strRef>
              <c:f>Grafer!$B$646</c:f>
              <c:strCache>
                <c:ptCount val="1"/>
                <c:pt idx="0">
                  <c:v>Transport</c:v>
                </c:pt>
              </c:strCache>
            </c:strRef>
          </c:tx>
          <c:invertIfNegative val="0"/>
          <c:cat>
            <c:strRef>
              <c:f>Grafer!$C$642:$E$642</c:f>
              <c:strCache>
                <c:ptCount val="3"/>
                <c:pt idx="0">
                  <c:v>2018</c:v>
                </c:pt>
                <c:pt idx="1">
                  <c:v>BAU2030</c:v>
                </c:pt>
                <c:pt idx="2">
                  <c:v>BAU2050</c:v>
                </c:pt>
              </c:strCache>
            </c:strRef>
          </c:cat>
          <c:val>
            <c:numRef>
              <c:f>Grafer!$C$646:$E$646</c:f>
              <c:numCache>
                <c:formatCode>#,##0</c:formatCode>
                <c:ptCount val="3"/>
                <c:pt idx="0">
                  <c:v>6.5195312800000007</c:v>
                </c:pt>
                <c:pt idx="1">
                  <c:v>6.2675864320420009</c:v>
                </c:pt>
                <c:pt idx="2">
                  <c:v>4.68929102255</c:v>
                </c:pt>
              </c:numCache>
            </c:numRef>
          </c:val>
          <c:extLst>
            <c:ext xmlns:c16="http://schemas.microsoft.com/office/drawing/2014/chart" uri="{C3380CC4-5D6E-409C-BE32-E72D297353CC}">
              <c16:uniqueId val="{00000003-11F9-4D25-B0AE-2804005DC64A}"/>
            </c:ext>
          </c:extLst>
        </c:ser>
        <c:ser>
          <c:idx val="4"/>
          <c:order val="4"/>
          <c:tx>
            <c:strRef>
              <c:f>Grafer!$B$647</c:f>
              <c:strCache>
                <c:ptCount val="1"/>
                <c:pt idx="0">
                  <c:v>Vindkraft mm.</c:v>
                </c:pt>
              </c:strCache>
            </c:strRef>
          </c:tx>
          <c:invertIfNegative val="0"/>
          <c:cat>
            <c:strRef>
              <c:f>Grafer!$C$642:$E$642</c:f>
              <c:strCache>
                <c:ptCount val="3"/>
                <c:pt idx="0">
                  <c:v>2018</c:v>
                </c:pt>
                <c:pt idx="1">
                  <c:v>BAU2030</c:v>
                </c:pt>
                <c:pt idx="2">
                  <c:v>BAU2050</c:v>
                </c:pt>
              </c:strCache>
            </c:strRef>
          </c:cat>
          <c:val>
            <c:numRef>
              <c:f>Grafer!$C$647:$E$647</c:f>
              <c:numCache>
                <c:formatCode>#,##0</c:formatCode>
                <c:ptCount val="3"/>
              </c:numCache>
            </c:numRef>
          </c:val>
          <c:extLst>
            <c:ext xmlns:c16="http://schemas.microsoft.com/office/drawing/2014/chart" uri="{C3380CC4-5D6E-409C-BE32-E72D297353CC}">
              <c16:uniqueId val="{00000004-11F9-4D25-B0AE-2804005DC64A}"/>
            </c:ext>
          </c:extLst>
        </c:ser>
        <c:ser>
          <c:idx val="5"/>
          <c:order val="5"/>
          <c:tx>
            <c:strRef>
              <c:f>Grafer!$B$648</c:f>
              <c:strCache>
                <c:ptCount val="1"/>
                <c:pt idx="0">
                  <c:v>El-import</c:v>
                </c:pt>
              </c:strCache>
            </c:strRef>
          </c:tx>
          <c:invertIfNegative val="0"/>
          <c:cat>
            <c:strRef>
              <c:f>Grafer!$C$642:$E$642</c:f>
              <c:strCache>
                <c:ptCount val="3"/>
                <c:pt idx="0">
                  <c:v>2018</c:v>
                </c:pt>
                <c:pt idx="1">
                  <c:v>BAU2030</c:v>
                </c:pt>
                <c:pt idx="2">
                  <c:v>BAU2050</c:v>
                </c:pt>
              </c:strCache>
            </c:strRef>
          </c:cat>
          <c:val>
            <c:numRef>
              <c:f>Grafer!$C$648:$E$648</c:f>
              <c:numCache>
                <c:formatCode>#,##0</c:formatCode>
                <c:ptCount val="3"/>
                <c:pt idx="0">
                  <c:v>4.5293996632071147</c:v>
                </c:pt>
                <c:pt idx="1">
                  <c:v>0</c:v>
                </c:pt>
                <c:pt idx="2">
                  <c:v>0</c:v>
                </c:pt>
              </c:numCache>
            </c:numRef>
          </c:val>
          <c:extLst>
            <c:ext xmlns:c16="http://schemas.microsoft.com/office/drawing/2014/chart" uri="{C3380CC4-5D6E-409C-BE32-E72D297353CC}">
              <c16:uniqueId val="{00000005-11F9-4D25-B0AE-2804005DC64A}"/>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0972222223144E-2"/>
          <c:y val="3.465346534653465E-2"/>
          <c:w val="0.62995638888888894"/>
          <c:h val="0.82134747474747483"/>
        </c:manualLayout>
      </c:layout>
      <c:barChart>
        <c:barDir val="col"/>
        <c:grouping val="stacked"/>
        <c:varyColors val="0"/>
        <c:ser>
          <c:idx val="0"/>
          <c:order val="0"/>
          <c:tx>
            <c:strRef>
              <c:f>Grafer!$B$305</c:f>
              <c:strCache>
                <c:ptCount val="1"/>
                <c:pt idx="0">
                  <c:v>Individuel opvarmning</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Grafer!$I$305:$T$305</c:f>
              <c:numCache>
                <c:formatCode>#,##0</c:formatCode>
                <c:ptCount val="12"/>
                <c:pt idx="0">
                  <c:v>0</c:v>
                </c:pt>
                <c:pt idx="1">
                  <c:v>0</c:v>
                </c:pt>
                <c:pt idx="2">
                  <c:v>0</c:v>
                </c:pt>
              </c:numCache>
            </c:numRef>
          </c:val>
          <c:extLst>
            <c:ext xmlns:c16="http://schemas.microsoft.com/office/drawing/2014/chart" uri="{C3380CC4-5D6E-409C-BE32-E72D297353CC}">
              <c16:uniqueId val="{00000000-B2AC-49D3-B1E5-6EAC56C7B524}"/>
            </c:ext>
          </c:extLst>
        </c:ser>
        <c:ser>
          <c:idx val="1"/>
          <c:order val="1"/>
          <c:tx>
            <c:strRef>
              <c:f>Grafer!$B$306</c:f>
              <c:strCache>
                <c:ptCount val="1"/>
                <c:pt idx="0">
                  <c:v>Kollektiv el- og varmeforsyning</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Grafer!$I$306:$T$306</c:f>
              <c:numCache>
                <c:formatCode>#,##0</c:formatCode>
                <c:ptCount val="12"/>
                <c:pt idx="0">
                  <c:v>0</c:v>
                </c:pt>
                <c:pt idx="1">
                  <c:v>0</c:v>
                </c:pt>
                <c:pt idx="2">
                  <c:v>0</c:v>
                </c:pt>
              </c:numCache>
            </c:numRef>
          </c:val>
          <c:extLst>
            <c:ext xmlns:c16="http://schemas.microsoft.com/office/drawing/2014/chart" uri="{C3380CC4-5D6E-409C-BE32-E72D297353CC}">
              <c16:uniqueId val="{00000001-B2AC-49D3-B1E5-6EAC56C7B524}"/>
            </c:ext>
          </c:extLst>
        </c:ser>
        <c:ser>
          <c:idx val="2"/>
          <c:order val="2"/>
          <c:tx>
            <c:strRef>
              <c:f>Grafer!$B$307</c:f>
              <c:strCache>
                <c:ptCount val="1"/>
                <c:pt idx="0">
                  <c:v>Industri</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Grafer!$I$307:$T$307</c:f>
              <c:numCache>
                <c:formatCode>#,##0</c:formatCode>
                <c:ptCount val="12"/>
                <c:pt idx="0">
                  <c:v>0</c:v>
                </c:pt>
                <c:pt idx="1">
                  <c:v>0</c:v>
                </c:pt>
                <c:pt idx="2">
                  <c:v>0</c:v>
                </c:pt>
              </c:numCache>
            </c:numRef>
          </c:val>
          <c:extLst>
            <c:ext xmlns:c16="http://schemas.microsoft.com/office/drawing/2014/chart" uri="{C3380CC4-5D6E-409C-BE32-E72D297353CC}">
              <c16:uniqueId val="{00000002-B2AC-49D3-B1E5-6EAC56C7B524}"/>
            </c:ext>
          </c:extLst>
        </c:ser>
        <c:ser>
          <c:idx val="3"/>
          <c:order val="3"/>
          <c:tx>
            <c:strRef>
              <c:f>Grafer!$B$308</c:f>
              <c:strCache>
                <c:ptCount val="1"/>
                <c:pt idx="0">
                  <c:v>Transport</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Grafer!$I$308:$T$308</c:f>
              <c:numCache>
                <c:formatCode>#,##0</c:formatCode>
                <c:ptCount val="12"/>
                <c:pt idx="0">
                  <c:v>88.723570000000024</c:v>
                </c:pt>
                <c:pt idx="1">
                  <c:v>85.365775947000003</c:v>
                </c:pt>
                <c:pt idx="2">
                  <c:v>63.861017489000005</c:v>
                </c:pt>
              </c:numCache>
            </c:numRef>
          </c:val>
          <c:extLst>
            <c:ext xmlns:c16="http://schemas.microsoft.com/office/drawing/2014/chart" uri="{C3380CC4-5D6E-409C-BE32-E72D297353CC}">
              <c16:uniqueId val="{00000003-B2AC-49D3-B1E5-6EAC56C7B524}"/>
            </c:ext>
          </c:extLst>
        </c:ser>
        <c:ser>
          <c:idx val="4"/>
          <c:order val="4"/>
          <c:tx>
            <c:strRef>
              <c:f>Grafer!$B$309</c:f>
              <c:strCache>
                <c:ptCount val="1"/>
                <c:pt idx="0">
                  <c:v>Vindkraft mm.</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Grafer!$I$309:$T$309</c:f>
              <c:numCache>
                <c:formatCode>#,##0</c:formatCode>
                <c:ptCount val="12"/>
                <c:pt idx="0">
                  <c:v>0</c:v>
                </c:pt>
                <c:pt idx="1">
                  <c:v>0</c:v>
                </c:pt>
                <c:pt idx="2">
                  <c:v>0</c:v>
                </c:pt>
              </c:numCache>
            </c:numRef>
          </c:val>
          <c:extLst>
            <c:ext xmlns:c16="http://schemas.microsoft.com/office/drawing/2014/chart" uri="{C3380CC4-5D6E-409C-BE32-E72D297353CC}">
              <c16:uniqueId val="{00000004-B2AC-49D3-B1E5-6EAC56C7B524}"/>
            </c:ext>
          </c:extLst>
        </c:ser>
        <c:ser>
          <c:idx val="5"/>
          <c:order val="5"/>
          <c:tx>
            <c:strRef>
              <c:f>Grafer!$B$310</c:f>
              <c:strCache>
                <c:ptCount val="1"/>
                <c:pt idx="0">
                  <c:v>El-import</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Grafer!$I$310:$T$310</c:f>
              <c:numCache>
                <c:formatCode>#,##0</c:formatCode>
                <c:ptCount val="12"/>
                <c:pt idx="0">
                  <c:v>20.435576952916403</c:v>
                </c:pt>
                <c:pt idx="1">
                  <c:v>0</c:v>
                </c:pt>
                <c:pt idx="2">
                  <c:v>0</c:v>
                </c:pt>
              </c:numCache>
            </c:numRef>
          </c:val>
          <c:extLst>
            <c:ext xmlns:c16="http://schemas.microsoft.com/office/drawing/2014/chart" uri="{C3380CC4-5D6E-409C-BE32-E72D297353CC}">
              <c16:uniqueId val="{00000005-B2AC-49D3-B1E5-6EAC56C7B524}"/>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71892305555555891"/>
          <c:h val="0.85396039603960394"/>
        </c:manualLayout>
      </c:layout>
      <c:barChart>
        <c:barDir val="col"/>
        <c:grouping val="stacked"/>
        <c:varyColors val="0"/>
        <c:ser>
          <c:idx val="0"/>
          <c:order val="0"/>
          <c:tx>
            <c:strRef>
              <c:f>Grafer!$B$450</c:f>
              <c:strCache>
                <c:ptCount val="1"/>
                <c:pt idx="0">
                  <c:v>Benzinbiler</c:v>
                </c:pt>
              </c:strCache>
            </c:strRef>
          </c:tx>
          <c:invertIfNegative val="0"/>
          <c:cat>
            <c:strRef>
              <c:f>Grafer!$C$449:$E$449</c:f>
              <c:strCache>
                <c:ptCount val="3"/>
                <c:pt idx="0">
                  <c:v>2018</c:v>
                </c:pt>
                <c:pt idx="1">
                  <c:v>BAU2030</c:v>
                </c:pt>
                <c:pt idx="2">
                  <c:v>BAU2050</c:v>
                </c:pt>
              </c:strCache>
            </c:strRef>
          </c:cat>
          <c:val>
            <c:numRef>
              <c:f>Grafer!$C$450:$E$450</c:f>
              <c:numCache>
                <c:formatCode>#,##0</c:formatCode>
                <c:ptCount val="3"/>
                <c:pt idx="0">
                  <c:v>18.62</c:v>
                </c:pt>
                <c:pt idx="1">
                  <c:v>17.8752</c:v>
                </c:pt>
                <c:pt idx="2">
                  <c:v>4.0219199999999997</c:v>
                </c:pt>
              </c:numCache>
            </c:numRef>
          </c:val>
          <c:extLst>
            <c:ext xmlns:c16="http://schemas.microsoft.com/office/drawing/2014/chart" uri="{C3380CC4-5D6E-409C-BE32-E72D297353CC}">
              <c16:uniqueId val="{00000000-32D4-463D-A4F2-24478EE5B2C6}"/>
            </c:ext>
          </c:extLst>
        </c:ser>
        <c:ser>
          <c:idx val="1"/>
          <c:order val="1"/>
          <c:tx>
            <c:strRef>
              <c:f>Grafer!$B$451</c:f>
              <c:strCache>
                <c:ptCount val="1"/>
                <c:pt idx="0">
                  <c:v>Dieselbiler</c:v>
                </c:pt>
              </c:strCache>
            </c:strRef>
          </c:tx>
          <c:invertIfNegative val="0"/>
          <c:cat>
            <c:strRef>
              <c:f>Grafer!$C$449:$E$449</c:f>
              <c:strCache>
                <c:ptCount val="3"/>
                <c:pt idx="0">
                  <c:v>2018</c:v>
                </c:pt>
                <c:pt idx="1">
                  <c:v>BAU2030</c:v>
                </c:pt>
                <c:pt idx="2">
                  <c:v>BAU2050</c:v>
                </c:pt>
              </c:strCache>
            </c:strRef>
          </c:cat>
          <c:val>
            <c:numRef>
              <c:f>Grafer!$C$451:$E$451</c:f>
              <c:numCache>
                <c:formatCode>#,##0</c:formatCode>
                <c:ptCount val="3"/>
                <c:pt idx="0">
                  <c:v>14.66</c:v>
                </c:pt>
                <c:pt idx="1">
                  <c:v>11.596060000000001</c:v>
                </c:pt>
                <c:pt idx="2">
                  <c:v>2.9026799999999993</c:v>
                </c:pt>
              </c:numCache>
            </c:numRef>
          </c:val>
          <c:extLst>
            <c:ext xmlns:c16="http://schemas.microsoft.com/office/drawing/2014/chart" uri="{C3380CC4-5D6E-409C-BE32-E72D297353CC}">
              <c16:uniqueId val="{00000001-32D4-463D-A4F2-24478EE5B2C6}"/>
            </c:ext>
          </c:extLst>
        </c:ser>
        <c:ser>
          <c:idx val="3"/>
          <c:order val="2"/>
          <c:tx>
            <c:strRef>
              <c:f>Grafer!$B$452</c:f>
              <c:strCache>
                <c:ptCount val="1"/>
                <c:pt idx="0">
                  <c:v>Varebiler</c:v>
                </c:pt>
              </c:strCache>
            </c:strRef>
          </c:tx>
          <c:invertIfNegative val="0"/>
          <c:cat>
            <c:strRef>
              <c:f>Grafer!$C$449:$E$449</c:f>
              <c:strCache>
                <c:ptCount val="3"/>
                <c:pt idx="0">
                  <c:v>2018</c:v>
                </c:pt>
                <c:pt idx="1">
                  <c:v>BAU2030</c:v>
                </c:pt>
                <c:pt idx="2">
                  <c:v>BAU2050</c:v>
                </c:pt>
              </c:strCache>
            </c:strRef>
          </c:cat>
          <c:val>
            <c:numRef>
              <c:f>Grafer!$C$452:$E$452</c:f>
              <c:numCache>
                <c:formatCode>#,##0</c:formatCode>
                <c:ptCount val="3"/>
                <c:pt idx="0">
                  <c:v>14.070000000000002</c:v>
                </c:pt>
                <c:pt idx="1">
                  <c:v>13.706994</c:v>
                </c:pt>
                <c:pt idx="2">
                  <c:v>13.706994</c:v>
                </c:pt>
              </c:numCache>
            </c:numRef>
          </c:val>
          <c:extLst>
            <c:ext xmlns:c16="http://schemas.microsoft.com/office/drawing/2014/chart" uri="{C3380CC4-5D6E-409C-BE32-E72D297353CC}">
              <c16:uniqueId val="{00000002-32D4-463D-A4F2-24478EE5B2C6}"/>
            </c:ext>
          </c:extLst>
        </c:ser>
        <c:ser>
          <c:idx val="2"/>
          <c:order val="3"/>
          <c:tx>
            <c:strRef>
              <c:f>Grafer!$B$453</c:f>
              <c:strCache>
                <c:ptCount val="1"/>
                <c:pt idx="0">
                  <c:v>Busser</c:v>
                </c:pt>
              </c:strCache>
            </c:strRef>
          </c:tx>
          <c:invertIfNegative val="0"/>
          <c:cat>
            <c:strRef>
              <c:f>Grafer!$C$449:$E$449</c:f>
              <c:strCache>
                <c:ptCount val="3"/>
                <c:pt idx="0">
                  <c:v>2018</c:v>
                </c:pt>
                <c:pt idx="1">
                  <c:v>BAU2030</c:v>
                </c:pt>
                <c:pt idx="2">
                  <c:v>BAU2050</c:v>
                </c:pt>
              </c:strCache>
            </c:strRef>
          </c:cat>
          <c:val>
            <c:numRef>
              <c:f>Grafer!$C$453:$E$453</c:f>
              <c:numCache>
                <c:formatCode>#,##0</c:formatCode>
                <c:ptCount val="3"/>
                <c:pt idx="0">
                  <c:v>1.2700000000000002</c:v>
                </c:pt>
                <c:pt idx="1">
                  <c:v>1.0863579999999999</c:v>
                </c:pt>
                <c:pt idx="2">
                  <c:v>1.0863579999999999</c:v>
                </c:pt>
              </c:numCache>
            </c:numRef>
          </c:val>
          <c:extLst>
            <c:ext xmlns:c16="http://schemas.microsoft.com/office/drawing/2014/chart" uri="{C3380CC4-5D6E-409C-BE32-E72D297353CC}">
              <c16:uniqueId val="{00000003-32D4-463D-A4F2-24478EE5B2C6}"/>
            </c:ext>
          </c:extLst>
        </c:ser>
        <c:ser>
          <c:idx val="4"/>
          <c:order val="4"/>
          <c:tx>
            <c:strRef>
              <c:f>Grafer!$B$454</c:f>
              <c:strCache>
                <c:ptCount val="1"/>
                <c:pt idx="0">
                  <c:v>Lastbiler m.m.</c:v>
                </c:pt>
              </c:strCache>
            </c:strRef>
          </c:tx>
          <c:invertIfNegative val="0"/>
          <c:cat>
            <c:strRef>
              <c:f>Grafer!$C$449:$E$449</c:f>
              <c:strCache>
                <c:ptCount val="3"/>
                <c:pt idx="0">
                  <c:v>2018</c:v>
                </c:pt>
                <c:pt idx="1">
                  <c:v>BAU2030</c:v>
                </c:pt>
                <c:pt idx="2">
                  <c:v>BAU2050</c:v>
                </c:pt>
              </c:strCache>
            </c:strRef>
          </c:cat>
          <c:val>
            <c:numRef>
              <c:f>Grafer!$C$454:$E$454</c:f>
              <c:numCache>
                <c:formatCode>#,##0</c:formatCode>
                <c:ptCount val="3"/>
                <c:pt idx="0">
                  <c:v>19.63</c:v>
                </c:pt>
                <c:pt idx="1">
                  <c:v>18.870319000000002</c:v>
                </c:pt>
                <c:pt idx="2">
                  <c:v>18.870319000000002</c:v>
                </c:pt>
              </c:numCache>
            </c:numRef>
          </c:val>
          <c:extLst>
            <c:ext xmlns:c16="http://schemas.microsoft.com/office/drawing/2014/chart" uri="{C3380CC4-5D6E-409C-BE32-E72D297353CC}">
              <c16:uniqueId val="{00000004-32D4-463D-A4F2-24478EE5B2C6}"/>
            </c:ext>
          </c:extLst>
        </c:ser>
        <c:ser>
          <c:idx val="5"/>
          <c:order val="5"/>
          <c:tx>
            <c:strRef>
              <c:f>Grafer!$B$455</c:f>
              <c:strCache>
                <c:ptCount val="1"/>
                <c:pt idx="0">
                  <c:v>Traktorer</c:v>
                </c:pt>
              </c:strCache>
            </c:strRef>
          </c:tx>
          <c:invertIfNegative val="0"/>
          <c:cat>
            <c:strRef>
              <c:f>Grafer!$C$449:$E$449</c:f>
              <c:strCache>
                <c:ptCount val="3"/>
                <c:pt idx="0">
                  <c:v>2018</c:v>
                </c:pt>
                <c:pt idx="1">
                  <c:v>BAU2030</c:v>
                </c:pt>
                <c:pt idx="2">
                  <c:v>BAU2050</c:v>
                </c:pt>
              </c:strCache>
            </c:strRef>
          </c:cat>
          <c:val>
            <c:numRef>
              <c:f>Grafer!$C$455:$E$455</c:f>
              <c:numCache>
                <c:formatCode>#,##0</c:formatCode>
                <c:ptCount val="3"/>
                <c:pt idx="0">
                  <c:v>7.43</c:v>
                </c:pt>
                <c:pt idx="1">
                  <c:v>7.43</c:v>
                </c:pt>
                <c:pt idx="2">
                  <c:v>7.43</c:v>
                </c:pt>
              </c:numCache>
            </c:numRef>
          </c:val>
          <c:extLst>
            <c:ext xmlns:c16="http://schemas.microsoft.com/office/drawing/2014/chart" uri="{C3380CC4-5D6E-409C-BE32-E72D297353CC}">
              <c16:uniqueId val="{00000005-32D4-463D-A4F2-24478EE5B2C6}"/>
            </c:ext>
          </c:extLst>
        </c:ser>
        <c:ser>
          <c:idx val="6"/>
          <c:order val="6"/>
          <c:tx>
            <c:strRef>
              <c:f>Grafer!$B$456</c:f>
              <c:strCache>
                <c:ptCount val="1"/>
                <c:pt idx="0">
                  <c:v>Tog</c:v>
                </c:pt>
              </c:strCache>
            </c:strRef>
          </c:tx>
          <c:invertIfNegative val="0"/>
          <c:cat>
            <c:strRef>
              <c:f>Grafer!$C$449:$E$449</c:f>
              <c:strCache>
                <c:ptCount val="3"/>
                <c:pt idx="0">
                  <c:v>2018</c:v>
                </c:pt>
                <c:pt idx="1">
                  <c:v>BAU2030</c:v>
                </c:pt>
                <c:pt idx="2">
                  <c:v>BAU2050</c:v>
                </c:pt>
              </c:strCache>
            </c:strRef>
          </c:cat>
          <c:val>
            <c:numRef>
              <c:f>Grafer!$C$456:$E$456</c:f>
              <c:numCache>
                <c:formatCode>#,##0</c:formatCode>
                <c:ptCount val="3"/>
                <c:pt idx="0">
                  <c:v>0.95</c:v>
                </c:pt>
                <c:pt idx="1">
                  <c:v>0.28495823799999997</c:v>
                </c:pt>
                <c:pt idx="2">
                  <c:v>0</c:v>
                </c:pt>
              </c:numCache>
            </c:numRef>
          </c:val>
          <c:extLst>
            <c:ext xmlns:c16="http://schemas.microsoft.com/office/drawing/2014/chart" uri="{C3380CC4-5D6E-409C-BE32-E72D297353CC}">
              <c16:uniqueId val="{00000006-32D4-463D-A4F2-24478EE5B2C6}"/>
            </c:ext>
          </c:extLst>
        </c:ser>
        <c:ser>
          <c:idx val="7"/>
          <c:order val="7"/>
          <c:tx>
            <c:strRef>
              <c:f>Grafer!$B$457</c:f>
              <c:strCache>
                <c:ptCount val="1"/>
                <c:pt idx="0">
                  <c:v>Fly</c:v>
                </c:pt>
              </c:strCache>
            </c:strRef>
          </c:tx>
          <c:invertIfNegative val="0"/>
          <c:cat>
            <c:strRef>
              <c:f>Grafer!$C$449:$E$449</c:f>
              <c:strCache>
                <c:ptCount val="3"/>
                <c:pt idx="0">
                  <c:v>2018</c:v>
                </c:pt>
                <c:pt idx="1">
                  <c:v>BAU2030</c:v>
                </c:pt>
                <c:pt idx="2">
                  <c:v>BAU2050</c:v>
                </c:pt>
              </c:strCache>
            </c:strRef>
          </c:cat>
          <c:val>
            <c:numRef>
              <c:f>Grafer!$C$457:$E$457</c:f>
              <c:numCache>
                <c:formatCode>#,##0</c:formatCode>
                <c:ptCount val="3"/>
                <c:pt idx="0">
                  <c:v>13.995000000000001</c:v>
                </c:pt>
                <c:pt idx="1">
                  <c:v>16.327966500000002</c:v>
                </c:pt>
                <c:pt idx="2">
                  <c:v>16.327966500000002</c:v>
                </c:pt>
              </c:numCache>
            </c:numRef>
          </c:val>
          <c:extLst>
            <c:ext xmlns:c16="http://schemas.microsoft.com/office/drawing/2014/chart" uri="{C3380CC4-5D6E-409C-BE32-E72D297353CC}">
              <c16:uniqueId val="{00000007-32D4-463D-A4F2-24478EE5B2C6}"/>
            </c:ext>
          </c:extLst>
        </c:ser>
        <c:ser>
          <c:idx val="8"/>
          <c:order val="8"/>
          <c:tx>
            <c:strRef>
              <c:f>Grafer!$B$458</c:f>
              <c:strCache>
                <c:ptCount val="1"/>
                <c:pt idx="0">
                  <c:v>Skibe</c:v>
                </c:pt>
              </c:strCache>
            </c:strRef>
          </c:tx>
          <c:invertIfNegative val="0"/>
          <c:cat>
            <c:strRef>
              <c:f>Grafer!$C$449:$E$449</c:f>
              <c:strCache>
                <c:ptCount val="3"/>
                <c:pt idx="0">
                  <c:v>2018</c:v>
                </c:pt>
                <c:pt idx="1">
                  <c:v>BAU2030</c:v>
                </c:pt>
                <c:pt idx="2">
                  <c:v>BAU2050</c:v>
                </c:pt>
              </c:strCache>
            </c:strRef>
          </c:cat>
          <c:val>
            <c:numRef>
              <c:f>Grafer!$C$458:$E$458</c:f>
              <c:numCache>
                <c:formatCode>#,##0</c:formatCode>
                <c:ptCount val="3"/>
                <c:pt idx="0">
                  <c:v>2.0009999999999999</c:v>
                </c:pt>
                <c:pt idx="1">
                  <c:v>1.9765878000000001</c:v>
                </c:pt>
                <c:pt idx="2">
                  <c:v>1.9765878000000001</c:v>
                </c:pt>
              </c:numCache>
            </c:numRef>
          </c:val>
          <c:extLst>
            <c:ext xmlns:c16="http://schemas.microsoft.com/office/drawing/2014/chart" uri="{C3380CC4-5D6E-409C-BE32-E72D297353CC}">
              <c16:uniqueId val="{00000008-32D4-463D-A4F2-24478EE5B2C6}"/>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992"/>
        <c:crosses val="autoZero"/>
        <c:crossBetween val="between"/>
      </c:valAx>
    </c:plotArea>
    <c:legend>
      <c:legendPos val="r"/>
      <c:layout>
        <c:manualLayout>
          <c:xMode val="edge"/>
          <c:yMode val="edge"/>
          <c:x val="0.84950138888888893"/>
          <c:y val="0.21836563898338901"/>
          <c:w val="0.13991527777777873"/>
          <c:h val="0.56326872203322198"/>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Grafer!$C$60:$E$60</c:f>
              <c:strCache>
                <c:ptCount val="3"/>
                <c:pt idx="0">
                  <c:v>2018</c:v>
                </c:pt>
                <c:pt idx="1">
                  <c:v>BAU2030</c:v>
                </c:pt>
                <c:pt idx="2">
                  <c:v>BAU2050</c:v>
                </c:pt>
              </c:strCache>
            </c:strRef>
          </c:cat>
          <c:val>
            <c:numRef>
              <c:f>Grafer!$C$61:$E$61</c:f>
              <c:numCache>
                <c:formatCode>_(* #,##0.0_);_(* \(#,##0.0\);_(* "-"??_);_(@_)</c:formatCode>
                <c:ptCount val="3"/>
                <c:pt idx="0">
                  <c:v>44.511658114988094</c:v>
                </c:pt>
                <c:pt idx="1">
                  <c:v>60.815741292581841</c:v>
                </c:pt>
                <c:pt idx="2">
                  <c:v>70.359974176945286</c:v>
                </c:pt>
              </c:numCache>
            </c:numRef>
          </c:val>
          <c:extLst>
            <c:ext xmlns:c16="http://schemas.microsoft.com/office/drawing/2014/chart" uri="{C3380CC4-5D6E-409C-BE32-E72D297353CC}">
              <c16:uniqueId val="{00000000-2C27-45A0-B4FB-AF6DEAA36935}"/>
            </c:ext>
          </c:extLst>
        </c:ser>
        <c:dLbls>
          <c:showLegendKey val="0"/>
          <c:showVal val="1"/>
          <c:showCatName val="0"/>
          <c:showSerName val="0"/>
          <c:showPercent val="0"/>
          <c:showBubbleSize val="0"/>
        </c:dLbls>
        <c:gapWidth val="15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640"/>
        <c:crosses val="autoZero"/>
        <c:auto val="1"/>
        <c:lblAlgn val="ctr"/>
        <c:lblOffset val="100"/>
        <c:noMultiLvlLbl val="0"/>
      </c:catAx>
      <c:valAx>
        <c:axId val="6870536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Grafer!$B$859</c:f>
              <c:strCache>
                <c:ptCount val="1"/>
                <c:pt idx="0">
                  <c:v>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Grafer!$C$859:$K$859</c:f>
              <c:numCache>
                <c:formatCode>#,##0</c:formatCode>
                <c:ptCount val="9"/>
                <c:pt idx="0">
                  <c:v>29.063999999999997</c:v>
                </c:pt>
                <c:pt idx="1">
                  <c:v>2.92</c:v>
                </c:pt>
                <c:pt idx="2">
                  <c:v>3.7300000000000004</c:v>
                </c:pt>
                <c:pt idx="3">
                  <c:v>6.2</c:v>
                </c:pt>
                <c:pt idx="4">
                  <c:v>0</c:v>
                </c:pt>
                <c:pt idx="5">
                  <c:v>0</c:v>
                </c:pt>
                <c:pt idx="6">
                  <c:v>0</c:v>
                </c:pt>
                <c:pt idx="7">
                  <c:v>5.5299999999999994</c:v>
                </c:pt>
                <c:pt idx="8">
                  <c:v>3.4164067620000003</c:v>
                </c:pt>
              </c:numCache>
            </c:numRef>
          </c:val>
          <c:extLst>
            <c:ext xmlns:c16="http://schemas.microsoft.com/office/drawing/2014/chart" uri="{C3380CC4-5D6E-409C-BE32-E72D297353CC}">
              <c16:uniqueId val="{00000000-DCDB-4CF1-B97A-715A24A4C548}"/>
            </c:ext>
          </c:extLst>
        </c:ser>
        <c:ser>
          <c:idx val="3"/>
          <c:order val="1"/>
          <c:tx>
            <c:strRef>
              <c:f>Grafer!$B$860</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Grafer!$C$860:$K$860</c:f>
              <c:numCache>
                <c:formatCode>#,##0</c:formatCode>
                <c:ptCount val="9"/>
                <c:pt idx="5">
                  <c:v>0</c:v>
                </c:pt>
              </c:numCache>
            </c:numRef>
          </c:val>
          <c:extLst>
            <c:ext xmlns:c16="http://schemas.microsoft.com/office/drawing/2014/chart" uri="{C3380CC4-5D6E-409C-BE32-E72D297353CC}">
              <c16:uniqueId val="{00000001-DCDB-4CF1-B97A-715A24A4C548}"/>
            </c:ext>
          </c:extLst>
        </c:ser>
        <c:ser>
          <c:idx val="4"/>
          <c:order val="2"/>
          <c:tx>
            <c:strRef>
              <c:f>Grafer!$B$861</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Grafer!$C$861:$K$861</c:f>
              <c:numCache>
                <c:formatCode>#,##0</c:formatCode>
                <c:ptCount val="9"/>
                <c:pt idx="0">
                  <c:v>0.11836999999999999</c:v>
                </c:pt>
                <c:pt idx="1">
                  <c:v>2.3674000000000001E-2</c:v>
                </c:pt>
                <c:pt idx="2">
                  <c:v>2.0292000000000001E-2</c:v>
                </c:pt>
                <c:pt idx="3">
                  <c:v>1.0146000000000001E-2</c:v>
                </c:pt>
                <c:pt idx="4">
                  <c:v>1.3528E-2</c:v>
                </c:pt>
                <c:pt idx="5">
                  <c:v>0.12851599999999999</c:v>
                </c:pt>
                <c:pt idx="6">
                  <c:v>0</c:v>
                </c:pt>
                <c:pt idx="7">
                  <c:v>2.3674000000000001E-2</c:v>
                </c:pt>
                <c:pt idx="8">
                  <c:v>0</c:v>
                </c:pt>
              </c:numCache>
            </c:numRef>
          </c:val>
          <c:extLst>
            <c:ext xmlns:c16="http://schemas.microsoft.com/office/drawing/2014/chart" uri="{C3380CC4-5D6E-409C-BE32-E72D297353CC}">
              <c16:uniqueId val="{00000002-DCDB-4CF1-B97A-715A24A4C548}"/>
            </c:ext>
          </c:extLst>
        </c:ser>
        <c:ser>
          <c:idx val="5"/>
          <c:order val="3"/>
          <c:tx>
            <c:strRef>
              <c:f>Grafer!$B$862</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Grafer!$C$862:$K$862</c:f>
              <c:numCache>
                <c:formatCode>#,##0</c:formatCode>
                <c:ptCount val="9"/>
                <c:pt idx="5">
                  <c:v>0</c:v>
                </c:pt>
                <c:pt idx="8">
                  <c:v>3.2597399999999998E-4</c:v>
                </c:pt>
              </c:numCache>
            </c:numRef>
          </c:val>
          <c:extLst>
            <c:ext xmlns:c16="http://schemas.microsoft.com/office/drawing/2014/chart" uri="{C3380CC4-5D6E-409C-BE32-E72D297353CC}">
              <c16:uniqueId val="{00000003-DCDB-4CF1-B97A-715A24A4C548}"/>
            </c:ext>
          </c:extLst>
        </c:ser>
        <c:ser>
          <c:idx val="6"/>
          <c:order val="4"/>
          <c:tx>
            <c:strRef>
              <c:f>Grafer!$B$863</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Grafer!$C$863:$K$863</c:f>
              <c:numCache>
                <c:formatCode>#,##0</c:formatCode>
                <c:ptCount val="9"/>
                <c:pt idx="0">
                  <c:v>5.702399999999999</c:v>
                </c:pt>
                <c:pt idx="5">
                  <c:v>0</c:v>
                </c:pt>
                <c:pt idx="7">
                  <c:v>2.4519000000000002</c:v>
                </c:pt>
                <c:pt idx="8">
                  <c:v>12.86985164703</c:v>
                </c:pt>
              </c:numCache>
            </c:numRef>
          </c:val>
          <c:extLst>
            <c:ext xmlns:c16="http://schemas.microsoft.com/office/drawing/2014/chart" uri="{C3380CC4-5D6E-409C-BE32-E72D297353CC}">
              <c16:uniqueId val="{00000004-DCDB-4CF1-B97A-715A24A4C548}"/>
            </c:ext>
          </c:extLst>
        </c:ser>
        <c:ser>
          <c:idx val="8"/>
          <c:order val="5"/>
          <c:tx>
            <c:strRef>
              <c:f>Grafer!$B$864</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Grafer!$C$864:$K$864</c:f>
              <c:numCache>
                <c:formatCode>#,##0</c:formatCode>
                <c:ptCount val="9"/>
                <c:pt idx="5">
                  <c:v>0</c:v>
                </c:pt>
                <c:pt idx="8">
                  <c:v>3.3752503650000003</c:v>
                </c:pt>
              </c:numCache>
            </c:numRef>
          </c:val>
          <c:extLst>
            <c:ext xmlns:c16="http://schemas.microsoft.com/office/drawing/2014/chart" uri="{C3380CC4-5D6E-409C-BE32-E72D297353CC}">
              <c16:uniqueId val="{00000005-DCDB-4CF1-B97A-715A24A4C548}"/>
            </c:ext>
          </c:extLst>
        </c:ser>
        <c:ser>
          <c:idx val="7"/>
          <c:order val="6"/>
          <c:tx>
            <c:strRef>
              <c:f>Grafer!$B$865</c:f>
              <c:strCache>
                <c:ptCount val="1"/>
                <c:pt idx="0">
                  <c:v>JP1</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Grafer!$C$865:$K$865</c:f>
              <c:numCache>
                <c:formatCode>#,##0</c:formatCode>
                <c:ptCount val="9"/>
                <c:pt idx="8">
                  <c:v>5.3824537800000005</c:v>
                </c:pt>
              </c:numCache>
            </c:numRef>
          </c:val>
          <c:extLst>
            <c:ext xmlns:c16="http://schemas.microsoft.com/office/drawing/2014/chart" uri="{C3380CC4-5D6E-409C-BE32-E72D297353CC}">
              <c16:uniqueId val="{00000006-DCDB-4CF1-B97A-715A24A4C548}"/>
            </c:ext>
          </c:extLst>
        </c:ser>
        <c:ser>
          <c:idx val="9"/>
          <c:order val="7"/>
          <c:tx>
            <c:strRef>
              <c:f>Grafer!$B$866</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Grafer!$C$866:$K$866</c:f>
              <c:numCache>
                <c:formatCode>#,##0</c:formatCode>
                <c:ptCount val="9"/>
                <c:pt idx="5">
                  <c:v>0</c:v>
                </c:pt>
              </c:numCache>
            </c:numRef>
          </c:val>
          <c:extLst>
            <c:ext xmlns:c16="http://schemas.microsoft.com/office/drawing/2014/chart" uri="{C3380CC4-5D6E-409C-BE32-E72D297353CC}">
              <c16:uniqueId val="{00000007-DCDB-4CF1-B97A-715A24A4C548}"/>
            </c:ext>
          </c:extLst>
        </c:ser>
        <c:ser>
          <c:idx val="13"/>
          <c:order val="8"/>
          <c:tx>
            <c:strRef>
              <c:f>Grafer!$B$867</c:f>
              <c:strCache>
                <c:ptCount val="1"/>
                <c:pt idx="0">
                  <c:v>Biobrændstof</c:v>
                </c:pt>
              </c:strCache>
            </c:strRef>
          </c:tx>
          <c:spPr>
            <a:solidFill>
              <a:schemeClr val="accent5">
                <a:lumMod val="40000"/>
                <a:lumOff val="60000"/>
              </a:schemeClr>
            </a:solidFill>
          </c:spPr>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Grafer!$C$867:$K$867</c:f>
              <c:numCache>
                <c:formatCode>#,##0</c:formatCode>
                <c:ptCount val="9"/>
                <c:pt idx="7">
                  <c:v>0</c:v>
                </c:pt>
                <c:pt idx="8">
                  <c:v>0.99316428150999991</c:v>
                </c:pt>
              </c:numCache>
            </c:numRef>
          </c:val>
          <c:extLst>
            <c:ext xmlns:c16="http://schemas.microsoft.com/office/drawing/2014/chart" uri="{C3380CC4-5D6E-409C-BE32-E72D297353CC}">
              <c16:uniqueId val="{00000008-DCDB-4CF1-B97A-715A24A4C548}"/>
            </c:ext>
          </c:extLst>
        </c:ser>
        <c:ser>
          <c:idx val="10"/>
          <c:order val="9"/>
          <c:tx>
            <c:strRef>
              <c:f>Grafer!$B$868</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Grafer!$C$868:$K$868</c:f>
              <c:numCache>
                <c:formatCode>#,##0</c:formatCode>
                <c:ptCount val="9"/>
                <c:pt idx="0">
                  <c:v>26.593439999999998</c:v>
                </c:pt>
                <c:pt idx="5">
                  <c:v>9</c:v>
                </c:pt>
              </c:numCache>
            </c:numRef>
          </c:val>
          <c:extLst>
            <c:ext xmlns:c16="http://schemas.microsoft.com/office/drawing/2014/chart" uri="{C3380CC4-5D6E-409C-BE32-E72D297353CC}">
              <c16:uniqueId val="{00000009-DCDB-4CF1-B97A-715A24A4C548}"/>
            </c:ext>
          </c:extLst>
        </c:ser>
        <c:ser>
          <c:idx val="11"/>
          <c:order val="10"/>
          <c:tx>
            <c:strRef>
              <c:f>Grafer!$B$869</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Grafer!$C$869:$K$869</c:f>
              <c:numCache>
                <c:formatCode>#,##0</c:formatCode>
                <c:ptCount val="9"/>
                <c:pt idx="0">
                  <c:v>10.19529792</c:v>
                </c:pt>
                <c:pt idx="1">
                  <c:v>1.5480590399999998</c:v>
                </c:pt>
                <c:pt idx="2">
                  <c:v>2.0797156800000001</c:v>
                </c:pt>
                <c:pt idx="3">
                  <c:v>1.0945872000000001</c:v>
                </c:pt>
                <c:pt idx="4">
                  <c:v>0</c:v>
                </c:pt>
                <c:pt idx="5">
                  <c:v>0.50038271999999995</c:v>
                </c:pt>
                <c:pt idx="6">
                  <c:v>0.23455439999999997</c:v>
                </c:pt>
                <c:pt idx="7">
                  <c:v>0</c:v>
                </c:pt>
              </c:numCache>
            </c:numRef>
          </c:val>
          <c:extLst>
            <c:ext xmlns:c16="http://schemas.microsoft.com/office/drawing/2014/chart" uri="{C3380CC4-5D6E-409C-BE32-E72D297353CC}">
              <c16:uniqueId val="{0000000A-DCDB-4CF1-B97A-715A24A4C548}"/>
            </c:ext>
          </c:extLst>
        </c:ser>
        <c:ser>
          <c:idx val="12"/>
          <c:order val="11"/>
          <c:tx>
            <c:strRef>
              <c:f>Grafer!$B$870</c:f>
              <c:strCache>
                <c:ptCount val="1"/>
                <c:pt idx="0">
                  <c:v>Procesvarme fra KV-produktion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Grafer!$C$870:$K$870</c:f>
              <c:numCache>
                <c:formatCode>#,##0</c:formatCode>
                <c:ptCount val="9"/>
                <c:pt idx="5">
                  <c:v>0</c:v>
                </c:pt>
              </c:numCache>
            </c:numRef>
          </c:val>
          <c:extLst>
            <c:ext xmlns:c16="http://schemas.microsoft.com/office/drawing/2014/chart" uri="{C3380CC4-5D6E-409C-BE32-E72D297353CC}">
              <c16:uniqueId val="{0000000B-DCDB-4CF1-B97A-715A24A4C548}"/>
            </c:ext>
          </c:extLst>
        </c:ser>
        <c:ser>
          <c:idx val="1"/>
          <c:order val="12"/>
          <c:tx>
            <c:strRef>
              <c:f>Grafer!$B$871</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Grafer!$C$871:$K$871</c:f>
              <c:numCache>
                <c:formatCode>#,##0</c:formatCode>
                <c:ptCount val="9"/>
                <c:pt idx="5">
                  <c:v>0</c:v>
                </c:pt>
              </c:numCache>
            </c:numRef>
          </c:val>
          <c:extLst>
            <c:ext xmlns:c16="http://schemas.microsoft.com/office/drawing/2014/chart" uri="{C3380CC4-5D6E-409C-BE32-E72D297353CC}">
              <c16:uniqueId val="{0000000C-DCDB-4CF1-B97A-715A24A4C548}"/>
            </c:ext>
          </c:extLst>
        </c:ser>
        <c:ser>
          <c:idx val="0"/>
          <c:order val="13"/>
          <c:tx>
            <c:strRef>
              <c:f>Grafer!$B$872</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Grafer!$C$872:$K$872</c:f>
              <c:numCache>
                <c:formatCode>#,##0</c:formatCode>
                <c:ptCount val="9"/>
                <c:pt idx="0">
                  <c:v>8.5823999999999998</c:v>
                </c:pt>
              </c:numCache>
            </c:numRef>
          </c:val>
          <c:extLst>
            <c:ext xmlns:c16="http://schemas.microsoft.com/office/drawing/2014/chart" uri="{C3380CC4-5D6E-409C-BE32-E72D297353CC}">
              <c16:uniqueId val="{0000000D-DCDB-4CF1-B97A-715A24A4C548}"/>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33"/>
          <c:y val="3.465346534653465E-2"/>
          <c:w val="0.64637145566444876"/>
          <c:h val="0.62314469696970176"/>
        </c:manualLayout>
      </c:layout>
      <c:barChart>
        <c:barDir val="col"/>
        <c:grouping val="stacked"/>
        <c:varyColors val="0"/>
        <c:ser>
          <c:idx val="2"/>
          <c:order val="0"/>
          <c:tx>
            <c:strRef>
              <c:f>Grafer!$B$732</c:f>
              <c:strCache>
                <c:ptCount val="1"/>
                <c:pt idx="0">
                  <c:v>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Grafer!$C$732:$K$732</c:f>
              <c:numCache>
                <c:formatCode>#,##0</c:formatCode>
                <c:ptCount val="9"/>
                <c:pt idx="0">
                  <c:v>34.324759671013538</c:v>
                </c:pt>
                <c:pt idx="1">
                  <c:v>4.0668730650154803</c:v>
                </c:pt>
                <c:pt idx="2">
                  <c:v>4.1531475748194016</c:v>
                </c:pt>
                <c:pt idx="3">
                  <c:v>6.9077399380804962</c:v>
                </c:pt>
                <c:pt idx="4">
                  <c:v>0</c:v>
                </c:pt>
                <c:pt idx="5">
                  <c:v>0</c:v>
                </c:pt>
                <c:pt idx="6">
                  <c:v>0</c:v>
                </c:pt>
                <c:pt idx="7">
                  <c:v>7.1294117647058819</c:v>
                </c:pt>
                <c:pt idx="8">
                  <c:v>4.2308442873065024</c:v>
                </c:pt>
              </c:numCache>
            </c:numRef>
          </c:val>
          <c:extLst>
            <c:ext xmlns:c16="http://schemas.microsoft.com/office/drawing/2014/chart" uri="{C3380CC4-5D6E-409C-BE32-E72D297353CC}">
              <c16:uniqueId val="{00000000-55B6-4A59-966D-BEABE568D329}"/>
            </c:ext>
          </c:extLst>
        </c:ser>
        <c:ser>
          <c:idx val="3"/>
          <c:order val="1"/>
          <c:tx>
            <c:strRef>
              <c:f>Grafer!$B$733</c:f>
              <c:strCache>
                <c:ptCount val="1"/>
                <c:pt idx="0">
                  <c:v>Kul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Grafer!$C$733:$K$733</c:f>
              <c:numCache>
                <c:formatCode>#,##0</c:formatCode>
                <c:ptCount val="9"/>
                <c:pt idx="5">
                  <c:v>0</c:v>
                </c:pt>
              </c:numCache>
            </c:numRef>
          </c:val>
          <c:extLst>
            <c:ext xmlns:c16="http://schemas.microsoft.com/office/drawing/2014/chart" uri="{C3380CC4-5D6E-409C-BE32-E72D297353CC}">
              <c16:uniqueId val="{00000001-55B6-4A59-966D-BEABE568D329}"/>
            </c:ext>
          </c:extLst>
        </c:ser>
        <c:ser>
          <c:idx val="4"/>
          <c:order val="2"/>
          <c:tx>
            <c:strRef>
              <c:f>Grafer!$B$734</c:f>
              <c:strCache>
                <c:ptCount val="1"/>
                <c:pt idx="0">
                  <c:v>Naturgas og LPG</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Grafer!$C$734:$K$734</c:f>
              <c:numCache>
                <c:formatCode>#,##0</c:formatCode>
                <c:ptCount val="9"/>
                <c:pt idx="0">
                  <c:v>0.31149999999999994</c:v>
                </c:pt>
                <c:pt idx="1">
                  <c:v>6.2300000000000001E-2</c:v>
                </c:pt>
                <c:pt idx="2">
                  <c:v>5.3400000000000003E-2</c:v>
                </c:pt>
                <c:pt idx="3">
                  <c:v>2.6700000000000002E-2</c:v>
                </c:pt>
                <c:pt idx="4">
                  <c:v>3.56E-2</c:v>
                </c:pt>
                <c:pt idx="5">
                  <c:v>0.3382</c:v>
                </c:pt>
                <c:pt idx="6">
                  <c:v>0</c:v>
                </c:pt>
                <c:pt idx="7">
                  <c:v>6.2300000000000001E-2</c:v>
                </c:pt>
                <c:pt idx="8">
                  <c:v>0</c:v>
                </c:pt>
              </c:numCache>
            </c:numRef>
          </c:val>
          <c:extLst>
            <c:ext xmlns:c16="http://schemas.microsoft.com/office/drawing/2014/chart" uri="{C3380CC4-5D6E-409C-BE32-E72D297353CC}">
              <c16:uniqueId val="{00000002-55B6-4A59-966D-BEABE568D329}"/>
            </c:ext>
          </c:extLst>
        </c:ser>
        <c:ser>
          <c:idx val="5"/>
          <c:order val="3"/>
          <c:tx>
            <c:strRef>
              <c:f>Grafer!$B$735</c:f>
              <c:strCache>
                <c:ptCount val="1"/>
                <c:pt idx="0">
                  <c:v>Fuelolie</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Grafer!$C$735:$K$735</c:f>
              <c:numCache>
                <c:formatCode>#,##0</c:formatCode>
                <c:ptCount val="9"/>
                <c:pt idx="5">
                  <c:v>0</c:v>
                </c:pt>
                <c:pt idx="8">
                  <c:v>3.2597399999999998E-4</c:v>
                </c:pt>
              </c:numCache>
            </c:numRef>
          </c:val>
          <c:extLst>
            <c:ext xmlns:c16="http://schemas.microsoft.com/office/drawing/2014/chart" uri="{C3380CC4-5D6E-409C-BE32-E72D297353CC}">
              <c16:uniqueId val="{00000003-55B6-4A59-966D-BEABE568D329}"/>
            </c:ext>
          </c:extLst>
        </c:ser>
        <c:ser>
          <c:idx val="6"/>
          <c:order val="4"/>
          <c:tx>
            <c:strRef>
              <c:f>Grafer!$B$736</c:f>
              <c:strCache>
                <c:ptCount val="1"/>
                <c:pt idx="0">
                  <c:v>Brændselsolie/diesel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Grafer!$C$736:$K$736</c:f>
              <c:numCache>
                <c:formatCode>#,##0</c:formatCode>
                <c:ptCount val="9"/>
                <c:pt idx="0">
                  <c:v>7.1279999999999983</c:v>
                </c:pt>
                <c:pt idx="5">
                  <c:v>0</c:v>
                </c:pt>
                <c:pt idx="7">
                  <c:v>7.4300000000000006</c:v>
                </c:pt>
                <c:pt idx="8">
                  <c:v>44.759445647000007</c:v>
                </c:pt>
              </c:numCache>
            </c:numRef>
          </c:val>
          <c:extLst>
            <c:ext xmlns:c16="http://schemas.microsoft.com/office/drawing/2014/chart" uri="{C3380CC4-5D6E-409C-BE32-E72D297353CC}">
              <c16:uniqueId val="{00000004-55B6-4A59-966D-BEABE568D329}"/>
            </c:ext>
          </c:extLst>
        </c:ser>
        <c:ser>
          <c:idx val="0"/>
          <c:order val="5"/>
          <c:tx>
            <c:strRef>
              <c:f>Grafer!$B$737</c:f>
              <c:strCache>
                <c:ptCount val="1"/>
                <c:pt idx="0">
                  <c:v>Benzin</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Grafer!$C$737:$K$737</c:f>
              <c:numCache>
                <c:formatCode>#,##0</c:formatCode>
                <c:ptCount val="9"/>
                <c:pt idx="5">
                  <c:v>0</c:v>
                </c:pt>
                <c:pt idx="8">
                  <c:v>16.864876500000001</c:v>
                </c:pt>
              </c:numCache>
            </c:numRef>
          </c:val>
          <c:extLst>
            <c:ext xmlns:c16="http://schemas.microsoft.com/office/drawing/2014/chart" uri="{C3380CC4-5D6E-409C-BE32-E72D297353CC}">
              <c16:uniqueId val="{00000005-55B6-4A59-966D-BEABE568D329}"/>
            </c:ext>
          </c:extLst>
        </c:ser>
        <c:ser>
          <c:idx val="8"/>
          <c:order val="6"/>
          <c:tx>
            <c:strRef>
              <c:f>Grafer!$B$738</c:f>
              <c:strCache>
                <c:ptCount val="1"/>
                <c:pt idx="0">
                  <c:v>JP1</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Grafer!$C$738:$K$738</c:f>
              <c:numCache>
                <c:formatCode>#,##0</c:formatCode>
                <c:ptCount val="9"/>
                <c:pt idx="8">
                  <c:v>16.310466000000002</c:v>
                </c:pt>
              </c:numCache>
            </c:numRef>
          </c:val>
          <c:extLst>
            <c:ext xmlns:c16="http://schemas.microsoft.com/office/drawing/2014/chart" uri="{C3380CC4-5D6E-409C-BE32-E72D297353CC}">
              <c16:uniqueId val="{00000006-55B6-4A59-966D-BEABE568D329}"/>
            </c:ext>
          </c:extLst>
        </c:ser>
        <c:ser>
          <c:idx val="7"/>
          <c:order val="7"/>
          <c:tx>
            <c:strRef>
              <c:f>Grafer!$B$739</c:f>
              <c:strCache>
                <c:ptCount val="1"/>
                <c:pt idx="0">
                  <c:v>Affald, ikke bionedbrydeligt</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Grafer!$C$739:$K$739</c:f>
              <c:numCache>
                <c:formatCode>#,##0</c:formatCode>
                <c:ptCount val="9"/>
                <c:pt idx="5">
                  <c:v>0</c:v>
                </c:pt>
              </c:numCache>
            </c:numRef>
          </c:val>
          <c:extLst>
            <c:ext xmlns:c16="http://schemas.microsoft.com/office/drawing/2014/chart" uri="{C3380CC4-5D6E-409C-BE32-E72D297353CC}">
              <c16:uniqueId val="{00000007-55B6-4A59-966D-BEABE568D329}"/>
            </c:ext>
          </c:extLst>
        </c:ser>
        <c:ser>
          <c:idx val="9"/>
          <c:order val="8"/>
          <c:tx>
            <c:strRef>
              <c:f>Grafer!$B$740</c:f>
              <c:strCache>
                <c:ptCount val="1"/>
                <c:pt idx="0">
                  <c:v>Biobrændstof</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Grafer!$C$740:$K$740</c:f>
              <c:numCache>
                <c:formatCode>#,##0</c:formatCode>
                <c:ptCount val="9"/>
                <c:pt idx="7">
                  <c:v>0</c:v>
                </c:pt>
                <c:pt idx="8">
                  <c:v>3.7886675909999994</c:v>
                </c:pt>
              </c:numCache>
            </c:numRef>
          </c:val>
          <c:extLst>
            <c:ext xmlns:c16="http://schemas.microsoft.com/office/drawing/2014/chart" uri="{C3380CC4-5D6E-409C-BE32-E72D297353CC}">
              <c16:uniqueId val="{00000008-55B6-4A59-966D-BEABE568D329}"/>
            </c:ext>
          </c:extLst>
        </c:ser>
        <c:ser>
          <c:idx val="13"/>
          <c:order val="9"/>
          <c:tx>
            <c:strRef>
              <c:f>Grafer!$B$741</c:f>
              <c:strCache>
                <c:ptCount val="1"/>
                <c:pt idx="0">
                  <c:v>Biomasse</c:v>
                </c:pt>
              </c:strCache>
            </c:strRef>
          </c:tx>
          <c:spPr>
            <a:solidFill>
              <a:schemeClr val="accent5">
                <a:lumMod val="40000"/>
                <a:lumOff val="60000"/>
              </a:schemeClr>
            </a:solidFill>
          </c:spPr>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Grafer!$C$741:$K$741</c:f>
              <c:numCache>
                <c:formatCode>#,##0</c:formatCode>
                <c:ptCount val="9"/>
                <c:pt idx="0">
                  <c:v>39.388799999999996</c:v>
                </c:pt>
                <c:pt idx="5">
                  <c:v>10</c:v>
                </c:pt>
              </c:numCache>
            </c:numRef>
          </c:val>
          <c:extLst>
            <c:ext xmlns:c16="http://schemas.microsoft.com/office/drawing/2014/chart" uri="{C3380CC4-5D6E-409C-BE32-E72D297353CC}">
              <c16:uniqueId val="{00000009-55B6-4A59-966D-BEABE568D329}"/>
            </c:ext>
          </c:extLst>
        </c:ser>
        <c:ser>
          <c:idx val="10"/>
          <c:order val="10"/>
          <c:tx>
            <c:strRef>
              <c:f>Grafer!$B$742</c:f>
              <c:strCache>
                <c:ptCount val="1"/>
                <c:pt idx="0">
                  <c:v>Fjernvarme</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Grafer!$C$742:$K$742</c:f>
              <c:numCache>
                <c:formatCode>#,##0</c:formatCode>
                <c:ptCount val="9"/>
                <c:pt idx="0">
                  <c:v>13.593730559999999</c:v>
                </c:pt>
                <c:pt idx="1">
                  <c:v>2.0640787199999999</c:v>
                </c:pt>
                <c:pt idx="2">
                  <c:v>2.7729542400000002</c:v>
                </c:pt>
                <c:pt idx="3">
                  <c:v>1.4594496000000001</c:v>
                </c:pt>
                <c:pt idx="4">
                  <c:v>0</c:v>
                </c:pt>
                <c:pt idx="5">
                  <c:v>0.66717695999999993</c:v>
                </c:pt>
                <c:pt idx="6">
                  <c:v>0.31273919999999994</c:v>
                </c:pt>
                <c:pt idx="7">
                  <c:v>0</c:v>
                </c:pt>
              </c:numCache>
            </c:numRef>
          </c:val>
          <c:extLst>
            <c:ext xmlns:c16="http://schemas.microsoft.com/office/drawing/2014/chart" uri="{C3380CC4-5D6E-409C-BE32-E72D297353CC}">
              <c16:uniqueId val="{0000000A-55B6-4A59-966D-BEABE568D329}"/>
            </c:ext>
          </c:extLst>
        </c:ser>
        <c:ser>
          <c:idx val="11"/>
          <c:order val="11"/>
          <c:tx>
            <c:strRef>
              <c:f>Grafer!$B$743</c:f>
              <c:strCache>
                <c:ptCount val="1"/>
                <c:pt idx="0">
                  <c:v>Procesvarme fra KV-produktion</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Grafer!$C$743:$K$743</c:f>
              <c:numCache>
                <c:formatCode>#,##0</c:formatCode>
                <c:ptCount val="9"/>
                <c:pt idx="5">
                  <c:v>0</c:v>
                </c:pt>
              </c:numCache>
            </c:numRef>
          </c:val>
          <c:extLst>
            <c:ext xmlns:c16="http://schemas.microsoft.com/office/drawing/2014/chart" uri="{C3380CC4-5D6E-409C-BE32-E72D297353CC}">
              <c16:uniqueId val="{0000000B-55B6-4A59-966D-BEABE568D329}"/>
            </c:ext>
          </c:extLst>
        </c:ser>
        <c:ser>
          <c:idx val="12"/>
          <c:order val="12"/>
          <c:tx>
            <c:strRef>
              <c:f>Grafer!$B$744</c:f>
              <c:strCache>
                <c:ptCount val="1"/>
                <c:pt idx="0">
                  <c:v>Biogas</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Grafer!$C$744:$K$744</c:f>
              <c:numCache>
                <c:formatCode>#,##0</c:formatCode>
                <c:ptCount val="9"/>
                <c:pt idx="5">
                  <c:v>0</c:v>
                </c:pt>
              </c:numCache>
            </c:numRef>
          </c:val>
          <c:extLst>
            <c:ext xmlns:c16="http://schemas.microsoft.com/office/drawing/2014/chart" uri="{C3380CC4-5D6E-409C-BE32-E72D297353CC}">
              <c16:uniqueId val="{0000000C-55B6-4A59-966D-BEABE568D329}"/>
            </c:ext>
          </c:extLst>
        </c:ser>
        <c:ser>
          <c:idx val="1"/>
          <c:order val="13"/>
          <c:tx>
            <c:strRef>
              <c:f>Grafer!$B$745</c:f>
              <c:strCache>
                <c:ptCount val="1"/>
                <c:pt idx="0">
                  <c:v>Solenergi og jordvarme</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Grafer!$C$745:$K$745</c:f>
              <c:numCache>
                <c:formatCode>#,##0</c:formatCode>
                <c:ptCount val="9"/>
                <c:pt idx="0">
                  <c:v>8.5823999999999998</c:v>
                </c:pt>
              </c:numCache>
            </c:numRef>
          </c:val>
          <c:extLst>
            <c:ext xmlns:c16="http://schemas.microsoft.com/office/drawing/2014/chart" uri="{C3380CC4-5D6E-409C-BE32-E72D297353CC}">
              <c16:uniqueId val="{0000000D-55B6-4A59-966D-BEABE568D329}"/>
            </c:ext>
          </c:extLst>
        </c:ser>
        <c:dLbls>
          <c:showLegendKey val="0"/>
          <c:showVal val="0"/>
          <c:showCatName val="0"/>
          <c:showSerName val="0"/>
          <c:showPercent val="0"/>
          <c:showBubbleSize val="0"/>
        </c:dLbls>
        <c:gapWidth val="150"/>
        <c:overlap val="100"/>
        <c:axId val="684827168"/>
        <c:axId val="580034688"/>
      </c:barChart>
      <c:catAx>
        <c:axId val="6848271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580034688"/>
        <c:crosses val="autoZero"/>
        <c:auto val="1"/>
        <c:lblAlgn val="ctr"/>
        <c:lblOffset val="100"/>
        <c:noMultiLvlLbl val="0"/>
      </c:catAx>
      <c:valAx>
        <c:axId val="5800346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716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77" l="0.70000000000000062" r="0.70000000000000062" t="0.7500000000000137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Grafer!$C$101:$E$101</c:f>
              <c:strCache>
                <c:ptCount val="3"/>
                <c:pt idx="0">
                  <c:v>2018</c:v>
                </c:pt>
                <c:pt idx="1">
                  <c:v>BAU2030</c:v>
                </c:pt>
                <c:pt idx="2">
                  <c:v>BAU2050</c:v>
                </c:pt>
              </c:strCache>
            </c:strRef>
          </c:cat>
          <c:val>
            <c:numRef>
              <c:f>Grafer!$C$118:$E$118</c:f>
              <c:numCache>
                <c:formatCode>#,##0</c:formatCode>
                <c:ptCount val="3"/>
                <c:pt idx="0">
                  <c:v>135.29714695291642</c:v>
                </c:pt>
                <c:pt idx="1">
                  <c:v>93.861855947000009</c:v>
                </c:pt>
                <c:pt idx="2">
                  <c:v>65.199217488999992</c:v>
                </c:pt>
              </c:numCache>
            </c:numRef>
          </c:val>
          <c:extLst>
            <c:ext xmlns:c16="http://schemas.microsoft.com/office/drawing/2014/chart" uri="{C3380CC4-5D6E-409C-BE32-E72D297353CC}">
              <c16:uniqueId val="{00000000-040E-4C75-80C9-0E0E74AE56AD}"/>
            </c:ext>
          </c:extLst>
        </c:ser>
        <c:ser>
          <c:idx val="16"/>
          <c:order val="1"/>
          <c:tx>
            <c:strRef>
              <c:f>Grafer!$B$119</c:f>
              <c:strCache>
                <c:ptCount val="1"/>
                <c:pt idx="0">
                  <c:v>I alt VE</c:v>
                </c:pt>
              </c:strCache>
            </c:strRef>
          </c:tx>
          <c:spPr>
            <a:solidFill>
              <a:schemeClr val="accent3"/>
            </a:solidFill>
          </c:spPr>
          <c:invertIfNegative val="0"/>
          <c:dLbls>
            <c:delete val="1"/>
          </c:dLbls>
          <c:cat>
            <c:strRef>
              <c:f>Grafer!$C$101:$E$101</c:f>
              <c:strCache>
                <c:ptCount val="3"/>
                <c:pt idx="0">
                  <c:v>2018</c:v>
                </c:pt>
                <c:pt idx="1">
                  <c:v>BAU2030</c:v>
                </c:pt>
                <c:pt idx="2">
                  <c:v>BAU2050</c:v>
                </c:pt>
              </c:strCache>
            </c:strRef>
          </c:cat>
          <c:val>
            <c:numRef>
              <c:f>Grafer!$C$119:$E$119</c:f>
              <c:numCache>
                <c:formatCode>#,##0</c:formatCode>
                <c:ptCount val="3"/>
                <c:pt idx="0">
                  <c:v>108.23895474872002</c:v>
                </c:pt>
                <c:pt idx="1">
                  <c:v>145.0294208690558</c:v>
                </c:pt>
                <c:pt idx="2">
                  <c:v>153.62564456659268</c:v>
                </c:pt>
              </c:numCache>
            </c:numRef>
          </c:val>
          <c:extLst>
            <c:ext xmlns:c16="http://schemas.microsoft.com/office/drawing/2014/chart" uri="{C3380CC4-5D6E-409C-BE32-E72D297353CC}">
              <c16:uniqueId val="{00000001-040E-4C75-80C9-0E0E74AE56AD}"/>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Grafer!$C$101:$E$101</c:f>
              <c:strCache>
                <c:ptCount val="3"/>
                <c:pt idx="0">
                  <c:v>2018</c:v>
                </c:pt>
                <c:pt idx="1">
                  <c:v>BAU2030</c:v>
                </c:pt>
                <c:pt idx="2">
                  <c:v>BAU2050</c:v>
                </c:pt>
              </c:strCache>
            </c:strRef>
          </c:cat>
          <c:val>
            <c:numRef>
              <c:f>Grafer!$C$118:$E$118</c:f>
              <c:numCache>
                <c:formatCode>#,##0</c:formatCode>
                <c:ptCount val="3"/>
                <c:pt idx="0">
                  <c:v>135.29714695291642</c:v>
                </c:pt>
                <c:pt idx="1">
                  <c:v>93.861855947000009</c:v>
                </c:pt>
                <c:pt idx="2">
                  <c:v>65.199217488999992</c:v>
                </c:pt>
              </c:numCache>
            </c:numRef>
          </c:val>
          <c:extLst>
            <c:ext xmlns:c16="http://schemas.microsoft.com/office/drawing/2014/chart" uri="{C3380CC4-5D6E-409C-BE32-E72D297353CC}">
              <c16:uniqueId val="{00000000-BA0A-427C-A52C-29D77ED6D20F}"/>
            </c:ext>
          </c:extLst>
        </c:ser>
        <c:ser>
          <c:idx val="16"/>
          <c:order val="1"/>
          <c:tx>
            <c:strRef>
              <c:f>Grafer!$B$119</c:f>
              <c:strCache>
                <c:ptCount val="1"/>
                <c:pt idx="0">
                  <c:v>I alt VE</c:v>
                </c:pt>
              </c:strCache>
            </c:strRef>
          </c:tx>
          <c:spPr>
            <a:solidFill>
              <a:schemeClr val="accent3"/>
            </a:solidFill>
          </c:spPr>
          <c:invertIfNegative val="0"/>
          <c:dLbls>
            <c:delete val="1"/>
          </c:dLbls>
          <c:cat>
            <c:strRef>
              <c:f>Grafer!$C$101:$E$101</c:f>
              <c:strCache>
                <c:ptCount val="3"/>
                <c:pt idx="0">
                  <c:v>2018</c:v>
                </c:pt>
                <c:pt idx="1">
                  <c:v>BAU2030</c:v>
                </c:pt>
                <c:pt idx="2">
                  <c:v>BAU2050</c:v>
                </c:pt>
              </c:strCache>
            </c:strRef>
          </c:cat>
          <c:val>
            <c:numRef>
              <c:f>Grafer!$C$119:$E$119</c:f>
              <c:numCache>
                <c:formatCode>#,##0</c:formatCode>
                <c:ptCount val="3"/>
                <c:pt idx="0">
                  <c:v>108.23895474872002</c:v>
                </c:pt>
                <c:pt idx="1">
                  <c:v>145.0294208690558</c:v>
                </c:pt>
                <c:pt idx="2">
                  <c:v>153.62564456659268</c:v>
                </c:pt>
              </c:numCache>
            </c:numRef>
          </c:val>
          <c:extLst>
            <c:ext xmlns:c16="http://schemas.microsoft.com/office/drawing/2014/chart" uri="{C3380CC4-5D6E-409C-BE32-E72D297353CC}">
              <c16:uniqueId val="{00000001-BA0A-427C-A52C-29D77ED6D20F}"/>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Grafer!$B$102</c:f>
              <c:strCache>
                <c:ptCount val="1"/>
                <c:pt idx="0">
                  <c:v>Elimport (fossilbaseret)</c:v>
                </c:pt>
              </c:strCache>
            </c:strRef>
          </c:tx>
          <c:invertIfNegative val="0"/>
          <c:cat>
            <c:strRef>
              <c:f>Grafer!$C$101:$E$101</c:f>
              <c:strCache>
                <c:ptCount val="3"/>
                <c:pt idx="0">
                  <c:v>2018</c:v>
                </c:pt>
                <c:pt idx="1">
                  <c:v>BAU2030</c:v>
                </c:pt>
                <c:pt idx="2">
                  <c:v>BAU2050</c:v>
                </c:pt>
              </c:strCache>
            </c:strRef>
          </c:cat>
          <c:val>
            <c:numRef>
              <c:f>Grafer!$C$102:$E$102</c:f>
              <c:numCache>
                <c:formatCode>#,##0</c:formatCode>
                <c:ptCount val="3"/>
                <c:pt idx="0">
                  <c:v>20.435576952916406</c:v>
                </c:pt>
                <c:pt idx="1">
                  <c:v>0</c:v>
                </c:pt>
                <c:pt idx="2">
                  <c:v>0</c:v>
                </c:pt>
              </c:numCache>
            </c:numRef>
          </c:val>
          <c:extLst>
            <c:ext xmlns:c16="http://schemas.microsoft.com/office/drawing/2014/chart" uri="{C3380CC4-5D6E-409C-BE32-E72D297353CC}">
              <c16:uniqueId val="{00000000-358A-41CC-99A5-1162A2264C9F}"/>
            </c:ext>
          </c:extLst>
        </c:ser>
        <c:ser>
          <c:idx val="2"/>
          <c:order val="1"/>
          <c:tx>
            <c:strRef>
              <c:f>Grafer!$B$103</c:f>
              <c:strCache>
                <c:ptCount val="1"/>
                <c:pt idx="0">
                  <c:v>Kul</c:v>
                </c:pt>
              </c:strCache>
            </c:strRef>
          </c:tx>
          <c:invertIfNegative val="0"/>
          <c:cat>
            <c:strRef>
              <c:f>Grafer!$C$101:$E$101</c:f>
              <c:strCache>
                <c:ptCount val="3"/>
                <c:pt idx="0">
                  <c:v>2018</c:v>
                </c:pt>
                <c:pt idx="1">
                  <c:v>BAU2030</c:v>
                </c:pt>
                <c:pt idx="2">
                  <c:v>BAU2050</c:v>
                </c:pt>
              </c:strCache>
            </c:strRef>
          </c:cat>
          <c:val>
            <c:numRef>
              <c:f>Grafer!$C$103:$E$103</c:f>
              <c:numCache>
                <c:formatCode>#,##0</c:formatCode>
                <c:ptCount val="3"/>
                <c:pt idx="0">
                  <c:v>0</c:v>
                </c:pt>
                <c:pt idx="1">
                  <c:v>0</c:v>
                </c:pt>
                <c:pt idx="2">
                  <c:v>0</c:v>
                </c:pt>
              </c:numCache>
            </c:numRef>
          </c:val>
          <c:extLst>
            <c:ext xmlns:c16="http://schemas.microsoft.com/office/drawing/2014/chart" uri="{C3380CC4-5D6E-409C-BE32-E72D297353CC}">
              <c16:uniqueId val="{00000001-358A-41CC-99A5-1162A2264C9F}"/>
            </c:ext>
          </c:extLst>
        </c:ser>
        <c:ser>
          <c:idx val="3"/>
          <c:order val="2"/>
          <c:tx>
            <c:strRef>
              <c:f>Grafer!$B$104</c:f>
              <c:strCache>
                <c:ptCount val="1"/>
                <c:pt idx="0">
                  <c:v>Naturgas og LPG</c:v>
                </c:pt>
              </c:strCache>
            </c:strRef>
          </c:tx>
          <c:invertIfNegative val="0"/>
          <c:cat>
            <c:strRef>
              <c:f>Grafer!$C$101:$E$101</c:f>
              <c:strCache>
                <c:ptCount val="3"/>
                <c:pt idx="0">
                  <c:v>2018</c:v>
                </c:pt>
                <c:pt idx="1">
                  <c:v>BAU2030</c:v>
                </c:pt>
                <c:pt idx="2">
                  <c:v>BAU2050</c:v>
                </c:pt>
              </c:strCache>
            </c:strRef>
          </c:cat>
          <c:val>
            <c:numRef>
              <c:f>Grafer!$C$104:$E$104</c:f>
              <c:numCache>
                <c:formatCode>#,##0</c:formatCode>
                <c:ptCount val="3"/>
                <c:pt idx="0">
                  <c:v>0.89</c:v>
                </c:pt>
                <c:pt idx="1">
                  <c:v>0.89</c:v>
                </c:pt>
                <c:pt idx="2">
                  <c:v>0.89</c:v>
                </c:pt>
              </c:numCache>
            </c:numRef>
          </c:val>
          <c:extLst>
            <c:ext xmlns:c16="http://schemas.microsoft.com/office/drawing/2014/chart" uri="{C3380CC4-5D6E-409C-BE32-E72D297353CC}">
              <c16:uniqueId val="{00000002-358A-41CC-99A5-1162A2264C9F}"/>
            </c:ext>
          </c:extLst>
        </c:ser>
        <c:ser>
          <c:idx val="4"/>
          <c:order val="3"/>
          <c:tx>
            <c:strRef>
              <c:f>Grafer!$B$105</c:f>
              <c:strCache>
                <c:ptCount val="1"/>
                <c:pt idx="0">
                  <c:v>Fuelolie</c:v>
                </c:pt>
              </c:strCache>
            </c:strRef>
          </c:tx>
          <c:invertIfNegative val="0"/>
          <c:cat>
            <c:strRef>
              <c:f>Grafer!$C$101:$E$101</c:f>
              <c:strCache>
                <c:ptCount val="3"/>
                <c:pt idx="0">
                  <c:v>2018</c:v>
                </c:pt>
                <c:pt idx="1">
                  <c:v>BAU2030</c:v>
                </c:pt>
                <c:pt idx="2">
                  <c:v>BAU2050</c:v>
                </c:pt>
              </c:strCache>
            </c:strRef>
          </c:cat>
          <c:val>
            <c:numRef>
              <c:f>Grafer!$C$105:$E$105</c:f>
              <c:numCache>
                <c:formatCode>#,##0</c:formatCode>
                <c:ptCount val="3"/>
                <c:pt idx="0">
                  <c:v>1E-3</c:v>
                </c:pt>
                <c:pt idx="1">
                  <c:v>9.8780000000000005E-4</c:v>
                </c:pt>
                <c:pt idx="2">
                  <c:v>9.8780000000000005E-4</c:v>
                </c:pt>
              </c:numCache>
            </c:numRef>
          </c:val>
          <c:extLst>
            <c:ext xmlns:c16="http://schemas.microsoft.com/office/drawing/2014/chart" uri="{C3380CC4-5D6E-409C-BE32-E72D297353CC}">
              <c16:uniqueId val="{00000003-358A-41CC-99A5-1162A2264C9F}"/>
            </c:ext>
          </c:extLst>
        </c:ser>
        <c:ser>
          <c:idx val="5"/>
          <c:order val="4"/>
          <c:tx>
            <c:strRef>
              <c:f>Grafer!$B$106</c:f>
              <c:strCache>
                <c:ptCount val="1"/>
                <c:pt idx="0">
                  <c:v>Brændselsolie/diesel</c:v>
                </c:pt>
              </c:strCache>
            </c:strRef>
          </c:tx>
          <c:invertIfNegative val="0"/>
          <c:cat>
            <c:strRef>
              <c:f>Grafer!$C$101:$E$101</c:f>
              <c:strCache>
                <c:ptCount val="3"/>
                <c:pt idx="0">
                  <c:v>2018</c:v>
                </c:pt>
                <c:pt idx="1">
                  <c:v>BAU2030</c:v>
                </c:pt>
                <c:pt idx="2">
                  <c:v>BAU2050</c:v>
                </c:pt>
              </c:strCache>
            </c:strRef>
          </c:cat>
          <c:val>
            <c:numRef>
              <c:f>Grafer!$C$106:$E$106</c:f>
              <c:numCache>
                <c:formatCode>#,##0</c:formatCode>
                <c:ptCount val="3"/>
                <c:pt idx="0">
                  <c:v>81.932789999999997</c:v>
                </c:pt>
                <c:pt idx="1">
                  <c:v>59.795525647000005</c:v>
                </c:pt>
                <c:pt idx="2">
                  <c:v>44.189603589000001</c:v>
                </c:pt>
              </c:numCache>
            </c:numRef>
          </c:val>
          <c:extLst>
            <c:ext xmlns:c16="http://schemas.microsoft.com/office/drawing/2014/chart" uri="{C3380CC4-5D6E-409C-BE32-E72D297353CC}">
              <c16:uniqueId val="{00000004-358A-41CC-99A5-1162A2264C9F}"/>
            </c:ext>
          </c:extLst>
        </c:ser>
        <c:ser>
          <c:idx val="14"/>
          <c:order val="5"/>
          <c:tx>
            <c:strRef>
              <c:f>Grafer!$B$107</c:f>
              <c:strCache>
                <c:ptCount val="1"/>
                <c:pt idx="0">
                  <c:v>JP1</c:v>
                </c:pt>
              </c:strCache>
            </c:strRef>
          </c:tx>
          <c:spPr>
            <a:solidFill>
              <a:srgbClr val="D9AAA9"/>
            </a:solidFill>
          </c:spPr>
          <c:invertIfNegative val="0"/>
          <c:cat>
            <c:strRef>
              <c:f>Grafer!$C$101:$E$101</c:f>
              <c:strCache>
                <c:ptCount val="3"/>
                <c:pt idx="0">
                  <c:v>2018</c:v>
                </c:pt>
                <c:pt idx="1">
                  <c:v>BAU2030</c:v>
                </c:pt>
                <c:pt idx="2">
                  <c:v>BAU2050</c:v>
                </c:pt>
              </c:strCache>
            </c:strRef>
          </c:cat>
          <c:val>
            <c:numRef>
              <c:f>Grafer!$C$107:$E$107</c:f>
              <c:numCache>
                <c:formatCode>#,##0</c:formatCode>
                <c:ptCount val="3"/>
                <c:pt idx="0">
                  <c:v>13.98</c:v>
                </c:pt>
                <c:pt idx="1">
                  <c:v>16.310466000000002</c:v>
                </c:pt>
                <c:pt idx="2">
                  <c:v>16.310466000000002</c:v>
                </c:pt>
              </c:numCache>
            </c:numRef>
          </c:val>
          <c:extLst>
            <c:ext xmlns:c16="http://schemas.microsoft.com/office/drawing/2014/chart" uri="{C3380CC4-5D6E-409C-BE32-E72D297353CC}">
              <c16:uniqueId val="{00000005-358A-41CC-99A5-1162A2264C9F}"/>
            </c:ext>
          </c:extLst>
        </c:ser>
        <c:ser>
          <c:idx val="6"/>
          <c:order val="6"/>
          <c:tx>
            <c:strRef>
              <c:f>Grafer!$B$108</c:f>
              <c:strCache>
                <c:ptCount val="1"/>
                <c:pt idx="0">
                  <c:v>Benzin</c:v>
                </c:pt>
              </c:strCache>
            </c:strRef>
          </c:tx>
          <c:invertIfNegative val="0"/>
          <c:cat>
            <c:strRef>
              <c:f>Grafer!$C$101:$E$101</c:f>
              <c:strCache>
                <c:ptCount val="3"/>
                <c:pt idx="0">
                  <c:v>2018</c:v>
                </c:pt>
                <c:pt idx="1">
                  <c:v>BAU2030</c:v>
                </c:pt>
                <c:pt idx="2">
                  <c:v>BAU2050</c:v>
                </c:pt>
              </c:strCache>
            </c:strRef>
          </c:cat>
          <c:val>
            <c:numRef>
              <c:f>Grafer!$C$108:$E$108</c:f>
              <c:numCache>
                <c:formatCode>#,##0</c:formatCode>
                <c:ptCount val="3"/>
                <c:pt idx="0">
                  <c:v>18.057780000000001</c:v>
                </c:pt>
                <c:pt idx="1">
                  <c:v>16.864876500000001</c:v>
                </c:pt>
                <c:pt idx="2">
                  <c:v>3.8081600999999998</c:v>
                </c:pt>
              </c:numCache>
            </c:numRef>
          </c:val>
          <c:extLst>
            <c:ext xmlns:c16="http://schemas.microsoft.com/office/drawing/2014/chart" uri="{C3380CC4-5D6E-409C-BE32-E72D297353CC}">
              <c16:uniqueId val="{00000006-358A-41CC-99A5-1162A2264C9F}"/>
            </c:ext>
          </c:extLst>
        </c:ser>
        <c:ser>
          <c:idx val="7"/>
          <c:order val="7"/>
          <c:tx>
            <c:strRef>
              <c:f>Grafer!$B$109</c:f>
              <c:strCache>
                <c:ptCount val="1"/>
                <c:pt idx="0">
                  <c:v>Affald, ikke bionedbrydeligt</c:v>
                </c:pt>
              </c:strCache>
            </c:strRef>
          </c:tx>
          <c:invertIfNegative val="0"/>
          <c:cat>
            <c:strRef>
              <c:f>Grafer!$C$101:$E$101</c:f>
              <c:strCache>
                <c:ptCount val="3"/>
                <c:pt idx="0">
                  <c:v>2018</c:v>
                </c:pt>
                <c:pt idx="1">
                  <c:v>BAU2030</c:v>
                </c:pt>
                <c:pt idx="2">
                  <c:v>BAU2050</c:v>
                </c:pt>
              </c:strCache>
            </c:strRef>
          </c:cat>
          <c:val>
            <c:numRef>
              <c:f>Grafer!$C$109:$E$109</c:f>
              <c:numCache>
                <c:formatCode>#,##0</c:formatCode>
                <c:ptCount val="3"/>
                <c:pt idx="0">
                  <c:v>0</c:v>
                </c:pt>
                <c:pt idx="1">
                  <c:v>0</c:v>
                </c:pt>
                <c:pt idx="2">
                  <c:v>0</c:v>
                </c:pt>
              </c:numCache>
            </c:numRef>
          </c:val>
          <c:extLst>
            <c:ext xmlns:c16="http://schemas.microsoft.com/office/drawing/2014/chart" uri="{C3380CC4-5D6E-409C-BE32-E72D297353CC}">
              <c16:uniqueId val="{00000007-358A-41CC-99A5-1162A2264C9F}"/>
            </c:ext>
          </c:extLst>
        </c:ser>
        <c:ser>
          <c:idx val="8"/>
          <c:order val="8"/>
          <c:tx>
            <c:strRef>
              <c:f>Grafer!$B$110</c:f>
              <c:strCache>
                <c:ptCount val="1"/>
                <c:pt idx="0">
                  <c:v>Affald, bionedbrydeligt</c:v>
                </c:pt>
              </c:strCache>
            </c:strRef>
          </c:tx>
          <c:invertIfNegative val="0"/>
          <c:cat>
            <c:strRef>
              <c:f>Grafer!$C$101:$E$101</c:f>
              <c:strCache>
                <c:ptCount val="3"/>
                <c:pt idx="0">
                  <c:v>2018</c:v>
                </c:pt>
                <c:pt idx="1">
                  <c:v>BAU2030</c:v>
                </c:pt>
                <c:pt idx="2">
                  <c:v>BAU2050</c:v>
                </c:pt>
              </c:strCache>
            </c:strRef>
          </c:cat>
          <c:val>
            <c:numRef>
              <c:f>Grafer!$C$110:$E$110</c:f>
              <c:numCache>
                <c:formatCode>#,##0</c:formatCode>
                <c:ptCount val="3"/>
                <c:pt idx="0">
                  <c:v>0</c:v>
                </c:pt>
                <c:pt idx="1">
                  <c:v>0</c:v>
                </c:pt>
                <c:pt idx="2">
                  <c:v>0</c:v>
                </c:pt>
              </c:numCache>
            </c:numRef>
          </c:val>
          <c:extLst>
            <c:ext xmlns:c16="http://schemas.microsoft.com/office/drawing/2014/chart" uri="{C3380CC4-5D6E-409C-BE32-E72D297353CC}">
              <c16:uniqueId val="{00000008-358A-41CC-99A5-1162A2264C9F}"/>
            </c:ext>
          </c:extLst>
        </c:ser>
        <c:ser>
          <c:idx val="9"/>
          <c:order val="9"/>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71.532429999999991</c:v>
                </c:pt>
                <c:pt idx="1">
                  <c:v>73.548667590999997</c:v>
                </c:pt>
                <c:pt idx="2">
                  <c:v>70.268807810999988</c:v>
                </c:pt>
              </c:numCache>
            </c:numRef>
          </c:val>
          <c:extLst>
            <c:ext xmlns:c16="http://schemas.microsoft.com/office/drawing/2014/chart" uri="{C3380CC4-5D6E-409C-BE32-E72D297353CC}">
              <c16:uniqueId val="{00000009-358A-41CC-99A5-1162A2264C9F}"/>
            </c:ext>
          </c:extLst>
        </c:ser>
        <c:ser>
          <c:idx val="10"/>
          <c:order val="10"/>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0.5</c:v>
                </c:pt>
                <c:pt idx="1">
                  <c:v>-6.9644848000000037E-2</c:v>
                </c:pt>
                <c:pt idx="2">
                  <c:v>-6.9644848000000037E-2</c:v>
                </c:pt>
              </c:numCache>
            </c:numRef>
          </c:val>
          <c:extLst>
            <c:ext xmlns:c16="http://schemas.microsoft.com/office/drawing/2014/chart" uri="{C3380CC4-5D6E-409C-BE32-E72D297353CC}">
              <c16:uniqueId val="{0000000A-358A-41CC-99A5-1162A2264C9F}"/>
            </c:ext>
          </c:extLst>
        </c:ser>
        <c:ser>
          <c:idx val="11"/>
          <c:order val="11"/>
          <c:tx>
            <c:strRef>
              <c:f>Grafer!$B$113</c:f>
              <c:strCache>
                <c:ptCount val="1"/>
                <c:pt idx="0">
                  <c:v>Biogas</c:v>
                </c:pt>
              </c:strCache>
            </c:strRef>
          </c:tx>
          <c:invertIfNegative val="0"/>
          <c:cat>
            <c:strRef>
              <c:f>Grafer!$C$101:$E$101</c:f>
              <c:strCache>
                <c:ptCount val="3"/>
                <c:pt idx="0">
                  <c:v>2018</c:v>
                </c:pt>
                <c:pt idx="1">
                  <c:v>BAU2030</c:v>
                </c:pt>
                <c:pt idx="2">
                  <c:v>BAU2050</c:v>
                </c:pt>
              </c:strCache>
            </c:strRef>
          </c:cat>
          <c:val>
            <c:numRef>
              <c:f>Grafer!$C$113:$E$113</c:f>
              <c:numCache>
                <c:formatCode>#,##0</c:formatCode>
                <c:ptCount val="3"/>
                <c:pt idx="0">
                  <c:v>0</c:v>
                </c:pt>
                <c:pt idx="1">
                  <c:v>0</c:v>
                </c:pt>
                <c:pt idx="2">
                  <c:v>0</c:v>
                </c:pt>
              </c:numCache>
            </c:numRef>
          </c:val>
          <c:extLst>
            <c:ext xmlns:c16="http://schemas.microsoft.com/office/drawing/2014/chart" uri="{C3380CC4-5D6E-409C-BE32-E72D297353CC}">
              <c16:uniqueId val="{0000000B-358A-41CC-99A5-1162A2264C9F}"/>
            </c:ext>
          </c:extLst>
        </c:ser>
        <c:ser>
          <c:idx val="12"/>
          <c:order val="12"/>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19.05</c:v>
                </c:pt>
                <c:pt idx="1">
                  <c:v>19.0136</c:v>
                </c:pt>
                <c:pt idx="2">
                  <c:v>18.959</c:v>
                </c:pt>
              </c:numCache>
            </c:numRef>
          </c:val>
          <c:extLst>
            <c:ext xmlns:c16="http://schemas.microsoft.com/office/drawing/2014/chart" uri="{C3380CC4-5D6E-409C-BE32-E72D297353CC}">
              <c16:uniqueId val="{0000000C-358A-41CC-99A5-1162A2264C9F}"/>
            </c:ext>
          </c:extLst>
        </c:ser>
        <c:ser>
          <c:idx val="0"/>
          <c:order val="13"/>
          <c:tx>
            <c:strRef>
              <c:f>Grafer!$B$115</c:f>
              <c:strCache>
                <c:ptCount val="1"/>
                <c:pt idx="0">
                  <c:v>Jordvarme, geotermi, vandkraft mm.</c:v>
                </c:pt>
              </c:strCache>
            </c:strRef>
          </c:tx>
          <c:invertIfNegative val="0"/>
          <c:cat>
            <c:strRef>
              <c:f>Grafer!$C$101:$E$101</c:f>
              <c:strCache>
                <c:ptCount val="3"/>
                <c:pt idx="0">
                  <c:v>2018</c:v>
                </c:pt>
                <c:pt idx="1">
                  <c:v>BAU2030</c:v>
                </c:pt>
                <c:pt idx="2">
                  <c:v>BAU2050</c:v>
                </c:pt>
              </c:strCache>
            </c:strRef>
          </c:cat>
          <c:val>
            <c:numRef>
              <c:f>Grafer!$C$115:$E$115</c:f>
              <c:numCache>
                <c:formatCode>#,##0</c:formatCode>
                <c:ptCount val="3"/>
                <c:pt idx="0">
                  <c:v>1.0999999999999999</c:v>
                </c:pt>
                <c:pt idx="1">
                  <c:v>8.0557999999999996</c:v>
                </c:pt>
                <c:pt idx="2">
                  <c:v>10.247</c:v>
                </c:pt>
              </c:numCache>
            </c:numRef>
          </c:val>
          <c:extLst>
            <c:ext xmlns:c16="http://schemas.microsoft.com/office/drawing/2014/chart" uri="{C3380CC4-5D6E-409C-BE32-E72D297353CC}">
              <c16:uniqueId val="{0000000D-358A-41CC-99A5-1162A2264C9F}"/>
            </c:ext>
          </c:extLst>
        </c:ser>
        <c:ser>
          <c:idx val="13"/>
          <c:order val="14"/>
          <c:tx>
            <c:strRef>
              <c:f>Grafer!$B$116</c:f>
              <c:strCache>
                <c:ptCount val="1"/>
                <c:pt idx="0">
                  <c:v>Elimport (VE-baseret)</c:v>
                </c:pt>
              </c:strCache>
            </c:strRef>
          </c:tx>
          <c:spPr>
            <a:solidFill>
              <a:srgbClr val="C6D6AC"/>
            </a:solidFill>
          </c:spPr>
          <c:invertIfNegative val="0"/>
          <c:cat>
            <c:strRef>
              <c:f>Grafer!$C$101:$E$101</c:f>
              <c:strCache>
                <c:ptCount val="3"/>
                <c:pt idx="0">
                  <c:v>2018</c:v>
                </c:pt>
                <c:pt idx="1">
                  <c:v>BAU2030</c:v>
                </c:pt>
                <c:pt idx="2">
                  <c:v>BAU2050</c:v>
                </c:pt>
              </c:strCache>
            </c:strRef>
          </c:cat>
          <c:val>
            <c:numRef>
              <c:f>Grafer!$C$116:$E$116</c:f>
              <c:numCache>
                <c:formatCode>#,##0</c:formatCode>
                <c:ptCount val="3"/>
                <c:pt idx="0">
                  <c:v>16.056524748720033</c:v>
                </c:pt>
                <c:pt idx="1">
                  <c:v>44.480998126055781</c:v>
                </c:pt>
                <c:pt idx="2">
                  <c:v>54.220481603592688</c:v>
                </c:pt>
              </c:numCache>
            </c:numRef>
          </c:val>
          <c:extLst>
            <c:ext xmlns:c16="http://schemas.microsoft.com/office/drawing/2014/chart" uri="{C3380CC4-5D6E-409C-BE32-E72D297353CC}">
              <c16:uniqueId val="{0000000E-358A-41CC-99A5-1162A2264C9F}"/>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Grafer!$C$102:$C$116</c:f>
              <c:numCache>
                <c:formatCode>#,##0</c:formatCode>
                <c:ptCount val="15"/>
                <c:pt idx="0">
                  <c:v>20.435576952916406</c:v>
                </c:pt>
                <c:pt idx="1">
                  <c:v>0</c:v>
                </c:pt>
                <c:pt idx="2">
                  <c:v>0.89</c:v>
                </c:pt>
                <c:pt idx="3">
                  <c:v>1E-3</c:v>
                </c:pt>
                <c:pt idx="4">
                  <c:v>81.932789999999997</c:v>
                </c:pt>
                <c:pt idx="5">
                  <c:v>13.98</c:v>
                </c:pt>
                <c:pt idx="6">
                  <c:v>18.057780000000001</c:v>
                </c:pt>
                <c:pt idx="7">
                  <c:v>0</c:v>
                </c:pt>
                <c:pt idx="8">
                  <c:v>0</c:v>
                </c:pt>
                <c:pt idx="9">
                  <c:v>71.532429999999991</c:v>
                </c:pt>
                <c:pt idx="10">
                  <c:v>0.5</c:v>
                </c:pt>
                <c:pt idx="11">
                  <c:v>0</c:v>
                </c:pt>
                <c:pt idx="12">
                  <c:v>19.05</c:v>
                </c:pt>
                <c:pt idx="13">
                  <c:v>1.0999999999999999</c:v>
                </c:pt>
                <c:pt idx="14">
                  <c:v>16.056524748720033</c:v>
                </c:pt>
              </c:numCache>
            </c:numRef>
          </c:val>
          <c:extLst>
            <c:ext xmlns:c16="http://schemas.microsoft.com/office/drawing/2014/chart" uri="{C3380CC4-5D6E-409C-BE32-E72D297353CC}">
              <c16:uniqueId val="{00000000-52E0-47D5-BBC5-2F11D79E2C05}"/>
            </c:ext>
          </c:extLst>
        </c:ser>
        <c:ser>
          <c:idx val="3"/>
          <c:order val="1"/>
          <c:tx>
            <c:strRef>
              <c:f>Grafer!$D$101</c:f>
              <c:strCache>
                <c:ptCount val="1"/>
                <c:pt idx="0">
                  <c:v>BAU2030</c:v>
                </c:pt>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Grafer!$D$102:$D$116</c:f>
              <c:numCache>
                <c:formatCode>#,##0</c:formatCode>
                <c:ptCount val="15"/>
                <c:pt idx="0">
                  <c:v>0</c:v>
                </c:pt>
                <c:pt idx="1">
                  <c:v>0</c:v>
                </c:pt>
                <c:pt idx="2">
                  <c:v>0.89</c:v>
                </c:pt>
                <c:pt idx="3">
                  <c:v>9.8780000000000005E-4</c:v>
                </c:pt>
                <c:pt idx="4">
                  <c:v>59.795525647000005</c:v>
                </c:pt>
                <c:pt idx="5">
                  <c:v>16.310466000000002</c:v>
                </c:pt>
                <c:pt idx="6">
                  <c:v>16.864876500000001</c:v>
                </c:pt>
                <c:pt idx="7">
                  <c:v>0</c:v>
                </c:pt>
                <c:pt idx="8">
                  <c:v>0</c:v>
                </c:pt>
                <c:pt idx="9">
                  <c:v>73.548667590999997</c:v>
                </c:pt>
                <c:pt idx="10">
                  <c:v>-6.9644848000000037E-2</c:v>
                </c:pt>
                <c:pt idx="11">
                  <c:v>0</c:v>
                </c:pt>
                <c:pt idx="12">
                  <c:v>19.0136</c:v>
                </c:pt>
                <c:pt idx="13">
                  <c:v>8.0557999999999996</c:v>
                </c:pt>
                <c:pt idx="14">
                  <c:v>44.480998126055781</c:v>
                </c:pt>
              </c:numCache>
            </c:numRef>
          </c:val>
          <c:extLst>
            <c:ext xmlns:c16="http://schemas.microsoft.com/office/drawing/2014/chart" uri="{C3380CC4-5D6E-409C-BE32-E72D297353CC}">
              <c16:uniqueId val="{00000001-52E0-47D5-BBC5-2F11D79E2C05}"/>
            </c:ext>
          </c:extLst>
        </c:ser>
        <c:ser>
          <c:idx val="1"/>
          <c:order val="2"/>
          <c:tx>
            <c:strRef>
              <c:f>Grafer!$E$101</c:f>
              <c:strCache>
                <c:ptCount val="1"/>
                <c:pt idx="0">
                  <c:v>BAU2050</c:v>
                </c:pt>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Grafer!$E$102:$E$116</c:f>
              <c:numCache>
                <c:formatCode>#,##0</c:formatCode>
                <c:ptCount val="15"/>
                <c:pt idx="0">
                  <c:v>0</c:v>
                </c:pt>
                <c:pt idx="1">
                  <c:v>0</c:v>
                </c:pt>
                <c:pt idx="2">
                  <c:v>0.89</c:v>
                </c:pt>
                <c:pt idx="3">
                  <c:v>9.8780000000000005E-4</c:v>
                </c:pt>
                <c:pt idx="4">
                  <c:v>44.189603589000001</c:v>
                </c:pt>
                <c:pt idx="5">
                  <c:v>16.310466000000002</c:v>
                </c:pt>
                <c:pt idx="6">
                  <c:v>3.8081600999999998</c:v>
                </c:pt>
                <c:pt idx="7">
                  <c:v>0</c:v>
                </c:pt>
                <c:pt idx="8">
                  <c:v>0</c:v>
                </c:pt>
                <c:pt idx="9">
                  <c:v>70.268807810999988</c:v>
                </c:pt>
                <c:pt idx="10">
                  <c:v>-6.9644848000000037E-2</c:v>
                </c:pt>
                <c:pt idx="11">
                  <c:v>0</c:v>
                </c:pt>
                <c:pt idx="12">
                  <c:v>18.959</c:v>
                </c:pt>
                <c:pt idx="13">
                  <c:v>10.247</c:v>
                </c:pt>
                <c:pt idx="14">
                  <c:v>54.220481603592688</c:v>
                </c:pt>
              </c:numCache>
            </c:numRef>
          </c:val>
          <c:extLst>
            <c:ext xmlns:c16="http://schemas.microsoft.com/office/drawing/2014/chart" uri="{C3380CC4-5D6E-409C-BE32-E72D297353CC}">
              <c16:uniqueId val="{00000002-52E0-47D5-BBC5-2F11D79E2C05}"/>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da-DK"/>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Grafer!$C$110:$C$116</c:f>
              <c:numCache>
                <c:formatCode>#,##0</c:formatCode>
                <c:ptCount val="7"/>
                <c:pt idx="0">
                  <c:v>0</c:v>
                </c:pt>
                <c:pt idx="1">
                  <c:v>71.532429999999991</c:v>
                </c:pt>
                <c:pt idx="2">
                  <c:v>0.5</c:v>
                </c:pt>
                <c:pt idx="3">
                  <c:v>0</c:v>
                </c:pt>
                <c:pt idx="4">
                  <c:v>19.05</c:v>
                </c:pt>
                <c:pt idx="5">
                  <c:v>1.0999999999999999</c:v>
                </c:pt>
                <c:pt idx="6">
                  <c:v>16.056524748720033</c:v>
                </c:pt>
              </c:numCache>
            </c:numRef>
          </c:val>
          <c:extLst>
            <c:ext xmlns:c16="http://schemas.microsoft.com/office/drawing/2014/chart" uri="{C3380CC4-5D6E-409C-BE32-E72D297353CC}">
              <c16:uniqueId val="{00000000-5E2D-4EB2-B73C-C2C29D8F67B6}"/>
            </c:ext>
          </c:extLst>
        </c:ser>
        <c:ser>
          <c:idx val="3"/>
          <c:order val="1"/>
          <c:tx>
            <c:strRef>
              <c:f>Grafer!$D$101</c:f>
              <c:strCache>
                <c:ptCount val="1"/>
                <c:pt idx="0">
                  <c:v>BAU2030</c:v>
                </c:pt>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Grafer!$D$110:$D$116</c:f>
              <c:numCache>
                <c:formatCode>#,##0</c:formatCode>
                <c:ptCount val="7"/>
                <c:pt idx="0">
                  <c:v>0</c:v>
                </c:pt>
                <c:pt idx="1">
                  <c:v>73.548667590999997</c:v>
                </c:pt>
                <c:pt idx="2">
                  <c:v>-6.9644848000000037E-2</c:v>
                </c:pt>
                <c:pt idx="3">
                  <c:v>0</c:v>
                </c:pt>
                <c:pt idx="4">
                  <c:v>19.0136</c:v>
                </c:pt>
                <c:pt idx="5">
                  <c:v>8.0557999999999996</c:v>
                </c:pt>
                <c:pt idx="6">
                  <c:v>44.480998126055781</c:v>
                </c:pt>
              </c:numCache>
            </c:numRef>
          </c:val>
          <c:extLst>
            <c:ext xmlns:c16="http://schemas.microsoft.com/office/drawing/2014/chart" uri="{C3380CC4-5D6E-409C-BE32-E72D297353CC}">
              <c16:uniqueId val="{00000001-5E2D-4EB2-B73C-C2C29D8F67B6}"/>
            </c:ext>
          </c:extLst>
        </c:ser>
        <c:ser>
          <c:idx val="1"/>
          <c:order val="2"/>
          <c:tx>
            <c:strRef>
              <c:f>Grafer!$E$101</c:f>
              <c:strCache>
                <c:ptCount val="1"/>
                <c:pt idx="0">
                  <c:v>BAU2050</c:v>
                </c:pt>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Grafer!$E$110:$E$116</c:f>
              <c:numCache>
                <c:formatCode>#,##0</c:formatCode>
                <c:ptCount val="7"/>
                <c:pt idx="0">
                  <c:v>0</c:v>
                </c:pt>
                <c:pt idx="1">
                  <c:v>70.268807810999988</c:v>
                </c:pt>
                <c:pt idx="2">
                  <c:v>-6.9644848000000037E-2</c:v>
                </c:pt>
                <c:pt idx="3">
                  <c:v>0</c:v>
                </c:pt>
                <c:pt idx="4">
                  <c:v>18.959</c:v>
                </c:pt>
                <c:pt idx="5">
                  <c:v>10.247</c:v>
                </c:pt>
                <c:pt idx="6">
                  <c:v>54.220481603592688</c:v>
                </c:pt>
              </c:numCache>
            </c:numRef>
          </c:val>
          <c:extLst>
            <c:ext xmlns:c16="http://schemas.microsoft.com/office/drawing/2014/chart" uri="{C3380CC4-5D6E-409C-BE32-E72D297353CC}">
              <c16:uniqueId val="{00000002-5E2D-4EB2-B73C-C2C29D8F67B6}"/>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Grafer!$C$563</c:f>
              <c:strCache>
                <c:ptCount val="1"/>
                <c:pt idx="0">
                  <c:v>2018</c:v>
                </c:pt>
              </c:strCache>
            </c:strRef>
          </c:tx>
          <c:spPr>
            <a:solidFill>
              <a:schemeClr val="accent5"/>
            </a:solidFill>
          </c:spPr>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Grafer!$C$564:$C$571</c:f>
              <c:numCache>
                <c:formatCode>#,##0</c:formatCode>
                <c:ptCount val="8"/>
                <c:pt idx="0">
                  <c:v>4.5293996632071147</c:v>
                </c:pt>
                <c:pt idx="1">
                  <c:v>0</c:v>
                </c:pt>
                <c:pt idx="2">
                  <c:v>5.6159000000000001E-2</c:v>
                </c:pt>
                <c:pt idx="3">
                  <c:v>7.887999999999999E-5</c:v>
                </c:pt>
                <c:pt idx="4">
                  <c:v>6.0630264599999997</c:v>
                </c:pt>
                <c:pt idx="5">
                  <c:v>1.0065600000000001</c:v>
                </c:pt>
                <c:pt idx="6">
                  <c:v>1.31821794</c:v>
                </c:pt>
                <c:pt idx="7">
                  <c:v>0</c:v>
                </c:pt>
              </c:numCache>
            </c:numRef>
          </c:val>
          <c:extLst>
            <c:ext xmlns:c16="http://schemas.microsoft.com/office/drawing/2014/chart" uri="{C3380CC4-5D6E-409C-BE32-E72D297353CC}">
              <c16:uniqueId val="{00000000-797E-4B5A-8017-DB606AA3E499}"/>
            </c:ext>
          </c:extLst>
        </c:ser>
        <c:ser>
          <c:idx val="3"/>
          <c:order val="1"/>
          <c:tx>
            <c:strRef>
              <c:f>Grafer!$D$563</c:f>
              <c:strCache>
                <c:ptCount val="1"/>
                <c:pt idx="0">
                  <c:v>BAU2030</c:v>
                </c:pt>
              </c:strCache>
            </c:strRef>
          </c:tx>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Grafer!$D$564:$D$571</c:f>
              <c:numCache>
                <c:formatCode>#,##0</c:formatCode>
                <c:ptCount val="8"/>
                <c:pt idx="0">
                  <c:v>0</c:v>
                </c:pt>
                <c:pt idx="1">
                  <c:v>0</c:v>
                </c:pt>
                <c:pt idx="2">
                  <c:v>5.6159000000000001E-2</c:v>
                </c:pt>
                <c:pt idx="3">
                  <c:v>7.7917663999999996E-5</c:v>
                </c:pt>
                <c:pt idx="4">
                  <c:v>4.4248688978780004</c:v>
                </c:pt>
                <c:pt idx="5">
                  <c:v>1.1743535520000001</c:v>
                </c:pt>
                <c:pt idx="6">
                  <c:v>1.2311359845000003</c:v>
                </c:pt>
                <c:pt idx="7">
                  <c:v>0</c:v>
                </c:pt>
              </c:numCache>
            </c:numRef>
          </c:val>
          <c:extLst>
            <c:ext xmlns:c16="http://schemas.microsoft.com/office/drawing/2014/chart" uri="{C3380CC4-5D6E-409C-BE32-E72D297353CC}">
              <c16:uniqueId val="{00000001-797E-4B5A-8017-DB606AA3E499}"/>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da-DK"/>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f>Grafer!$C$642:$H$642</c:f>
              <c:strCache>
                <c:ptCount val="3"/>
                <c:pt idx="0">
                  <c:v>2018</c:v>
                </c:pt>
                <c:pt idx="1">
                  <c:v>BAU2030</c:v>
                </c:pt>
                <c:pt idx="2">
                  <c:v>BAU2050</c:v>
                </c:pt>
              </c:strCache>
            </c:strRef>
          </c:cat>
          <c:val>
            <c:numRef>
              <c:f>Grafer!$C$643:$H$643</c:f>
              <c:numCache>
                <c:formatCode>#,##0</c:formatCode>
                <c:ptCount val="6"/>
                <c:pt idx="0">
                  <c:v>1.8314999999999999</c:v>
                </c:pt>
                <c:pt idx="1">
                  <c:v>0.52747199999999994</c:v>
                </c:pt>
                <c:pt idx="2">
                  <c:v>0</c:v>
                </c:pt>
              </c:numCache>
            </c:numRef>
          </c:val>
          <c:extLst>
            <c:ext xmlns:c16="http://schemas.microsoft.com/office/drawing/2014/chart" uri="{C3380CC4-5D6E-409C-BE32-E72D297353CC}">
              <c16:uniqueId val="{00000000-F7FC-4573-9AAE-399D44EAD1C1}"/>
            </c:ext>
          </c:extLst>
        </c:ser>
        <c:ser>
          <c:idx val="1"/>
          <c:order val="1"/>
          <c:tx>
            <c:strRef>
              <c:f>Grafer!$B$644</c:f>
              <c:strCache>
                <c:ptCount val="1"/>
                <c:pt idx="0">
                  <c:v>Kollektiv el- og varmeforsyning</c:v>
                </c:pt>
              </c:strCache>
            </c:strRef>
          </c:tx>
          <c:invertIfNegative val="0"/>
          <c:cat>
            <c:strRef>
              <c:f>Grafer!$C$642:$H$642</c:f>
              <c:strCache>
                <c:ptCount val="3"/>
                <c:pt idx="0">
                  <c:v>2018</c:v>
                </c:pt>
                <c:pt idx="1">
                  <c:v>BAU2030</c:v>
                </c:pt>
                <c:pt idx="2">
                  <c:v>BAU2050</c:v>
                </c:pt>
              </c:strCache>
            </c:strRef>
          </c:cat>
          <c:val>
            <c:numRef>
              <c:f>Grafer!$C$644:$H$644</c:f>
              <c:numCache>
                <c:formatCode>#,##0</c:formatCode>
                <c:ptCount val="6"/>
                <c:pt idx="0">
                  <c:v>3.6851999999999996E-2</c:v>
                </c:pt>
                <c:pt idx="1">
                  <c:v>3.537792E-2</c:v>
                </c:pt>
                <c:pt idx="2">
                  <c:v>3.3166800000000003E-2</c:v>
                </c:pt>
              </c:numCache>
            </c:numRef>
          </c:val>
          <c:extLst>
            <c:ext xmlns:c16="http://schemas.microsoft.com/office/drawing/2014/chart" uri="{C3380CC4-5D6E-409C-BE32-E72D297353CC}">
              <c16:uniqueId val="{00000001-F7FC-4573-9AAE-399D44EAD1C1}"/>
            </c:ext>
          </c:extLst>
        </c:ser>
        <c:ser>
          <c:idx val="2"/>
          <c:order val="2"/>
          <c:tx>
            <c:strRef>
              <c:f>Grafer!$B$645</c:f>
              <c:strCache>
                <c:ptCount val="1"/>
                <c:pt idx="0">
                  <c:v>Industri</c:v>
                </c:pt>
              </c:strCache>
            </c:strRef>
          </c:tx>
          <c:invertIfNegative val="0"/>
          <c:cat>
            <c:strRef>
              <c:f>Grafer!$C$642:$H$642</c:f>
              <c:strCache>
                <c:ptCount val="3"/>
                <c:pt idx="0">
                  <c:v>2018</c:v>
                </c:pt>
                <c:pt idx="1">
                  <c:v>BAU2030</c:v>
                </c:pt>
                <c:pt idx="2">
                  <c:v>BAU2050</c:v>
                </c:pt>
              </c:strCache>
            </c:strRef>
          </c:cat>
          <c:val>
            <c:numRef>
              <c:f>Grafer!$C$645:$H$645</c:f>
              <c:numCache>
                <c:formatCode>#,##0</c:formatCode>
                <c:ptCount val="6"/>
                <c:pt idx="0">
                  <c:v>5.6159000000000001E-2</c:v>
                </c:pt>
                <c:pt idx="1">
                  <c:v>5.6159000000000001E-2</c:v>
                </c:pt>
                <c:pt idx="2">
                  <c:v>5.6159000000000001E-2</c:v>
                </c:pt>
              </c:numCache>
            </c:numRef>
          </c:val>
          <c:extLst>
            <c:ext xmlns:c16="http://schemas.microsoft.com/office/drawing/2014/chart" uri="{C3380CC4-5D6E-409C-BE32-E72D297353CC}">
              <c16:uniqueId val="{00000002-F7FC-4573-9AAE-399D44EAD1C1}"/>
            </c:ext>
          </c:extLst>
        </c:ser>
        <c:ser>
          <c:idx val="3"/>
          <c:order val="3"/>
          <c:tx>
            <c:strRef>
              <c:f>Grafer!$B$646</c:f>
              <c:strCache>
                <c:ptCount val="1"/>
                <c:pt idx="0">
                  <c:v>Transport</c:v>
                </c:pt>
              </c:strCache>
            </c:strRef>
          </c:tx>
          <c:invertIfNegative val="0"/>
          <c:cat>
            <c:strRef>
              <c:f>Grafer!$C$642:$H$642</c:f>
              <c:strCache>
                <c:ptCount val="3"/>
                <c:pt idx="0">
                  <c:v>2018</c:v>
                </c:pt>
                <c:pt idx="1">
                  <c:v>BAU2030</c:v>
                </c:pt>
                <c:pt idx="2">
                  <c:v>BAU2050</c:v>
                </c:pt>
              </c:strCache>
            </c:strRef>
          </c:cat>
          <c:val>
            <c:numRef>
              <c:f>Grafer!$C$646:$H$646</c:f>
              <c:numCache>
                <c:formatCode>#,##0</c:formatCode>
                <c:ptCount val="6"/>
                <c:pt idx="0">
                  <c:v>6.5195312800000007</c:v>
                </c:pt>
                <c:pt idx="1">
                  <c:v>6.2675864320420009</c:v>
                </c:pt>
                <c:pt idx="2">
                  <c:v>4.68929102255</c:v>
                </c:pt>
              </c:numCache>
            </c:numRef>
          </c:val>
          <c:extLst>
            <c:ext xmlns:c16="http://schemas.microsoft.com/office/drawing/2014/chart" uri="{C3380CC4-5D6E-409C-BE32-E72D297353CC}">
              <c16:uniqueId val="{00000003-F7FC-4573-9AAE-399D44EAD1C1}"/>
            </c:ext>
          </c:extLst>
        </c:ser>
        <c:ser>
          <c:idx val="4"/>
          <c:order val="4"/>
          <c:tx>
            <c:strRef>
              <c:f>Grafer!$B$647</c:f>
              <c:strCache>
                <c:ptCount val="1"/>
                <c:pt idx="0">
                  <c:v>Vindkraft mm.</c:v>
                </c:pt>
              </c:strCache>
            </c:strRef>
          </c:tx>
          <c:invertIfNegative val="0"/>
          <c:cat>
            <c:strRef>
              <c:f>Grafer!$C$642:$H$642</c:f>
              <c:strCache>
                <c:ptCount val="3"/>
                <c:pt idx="0">
                  <c:v>2018</c:v>
                </c:pt>
                <c:pt idx="1">
                  <c:v>BAU2030</c:v>
                </c:pt>
                <c:pt idx="2">
                  <c:v>BAU2050</c:v>
                </c:pt>
              </c:strCache>
            </c:strRef>
          </c:cat>
          <c:val>
            <c:numRef>
              <c:f>Grafer!$C$647:$H$647</c:f>
              <c:numCache>
                <c:formatCode>#,##0</c:formatCode>
                <c:ptCount val="6"/>
              </c:numCache>
            </c:numRef>
          </c:val>
          <c:extLst>
            <c:ext xmlns:c16="http://schemas.microsoft.com/office/drawing/2014/chart" uri="{C3380CC4-5D6E-409C-BE32-E72D297353CC}">
              <c16:uniqueId val="{00000004-F7FC-4573-9AAE-399D44EAD1C1}"/>
            </c:ext>
          </c:extLst>
        </c:ser>
        <c:ser>
          <c:idx val="5"/>
          <c:order val="5"/>
          <c:tx>
            <c:strRef>
              <c:f>Grafer!$B$648</c:f>
              <c:strCache>
                <c:ptCount val="1"/>
                <c:pt idx="0">
                  <c:v>El-import</c:v>
                </c:pt>
              </c:strCache>
            </c:strRef>
          </c:tx>
          <c:invertIfNegative val="0"/>
          <c:cat>
            <c:strRef>
              <c:f>Grafer!$C$642:$H$642</c:f>
              <c:strCache>
                <c:ptCount val="3"/>
                <c:pt idx="0">
                  <c:v>2018</c:v>
                </c:pt>
                <c:pt idx="1">
                  <c:v>BAU2030</c:v>
                </c:pt>
                <c:pt idx="2">
                  <c:v>BAU2050</c:v>
                </c:pt>
              </c:strCache>
            </c:strRef>
          </c:cat>
          <c:val>
            <c:numRef>
              <c:f>Grafer!$C$648:$H$648</c:f>
              <c:numCache>
                <c:formatCode>#,##0</c:formatCode>
                <c:ptCount val="6"/>
                <c:pt idx="0">
                  <c:v>4.5293996632071147</c:v>
                </c:pt>
                <c:pt idx="1">
                  <c:v>0</c:v>
                </c:pt>
                <c:pt idx="2">
                  <c:v>0</c:v>
                </c:pt>
              </c:numCache>
            </c:numRef>
          </c:val>
          <c:extLst>
            <c:ext xmlns:c16="http://schemas.microsoft.com/office/drawing/2014/chart" uri="{C3380CC4-5D6E-409C-BE32-E72D297353CC}">
              <c16:uniqueId val="{00000005-F7FC-4573-9AAE-399D44EAD1C1}"/>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Grafer!$C$304</c:f>
              <c:strCache>
                <c:ptCount val="1"/>
                <c:pt idx="0">
                  <c:v>2018</c:v>
                </c:pt>
              </c:strCache>
            </c:strRef>
          </c:tx>
          <c:spPr>
            <a:solidFill>
              <a:schemeClr val="accent5"/>
            </a:solidFill>
          </c:spPr>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Grafer!$C$305:$C$310</c:f>
              <c:numCache>
                <c:formatCode>#,##0</c:formatCode>
                <c:ptCount val="6"/>
                <c:pt idx="0">
                  <c:v>63.169999999999995</c:v>
                </c:pt>
                <c:pt idx="1">
                  <c:v>21.718</c:v>
                </c:pt>
                <c:pt idx="2">
                  <c:v>10.89</c:v>
                </c:pt>
                <c:pt idx="3">
                  <c:v>92.626000000000019</c:v>
                </c:pt>
                <c:pt idx="4">
                  <c:v>18.64</c:v>
                </c:pt>
                <c:pt idx="5">
                  <c:v>36.492101701636436</c:v>
                </c:pt>
              </c:numCache>
            </c:numRef>
          </c:val>
          <c:extLst>
            <c:ext xmlns:c16="http://schemas.microsoft.com/office/drawing/2014/chart" uri="{C3380CC4-5D6E-409C-BE32-E72D297353CC}">
              <c16:uniqueId val="{00000000-78CA-4BA3-9820-0319737F303E}"/>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Grafer!$D$403</c:f>
              <c:strCache>
                <c:ptCount val="1"/>
                <c:pt idx="0">
                  <c:v>VE</c:v>
                </c:pt>
              </c:strCache>
            </c:strRef>
          </c:tx>
          <c:spPr>
            <a:solidFill>
              <a:schemeClr val="accent3"/>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Grafer!$D$404:$D$415</c:f>
              <c:numCache>
                <c:formatCode>#,##0</c:formatCode>
                <c:ptCount val="12"/>
                <c:pt idx="0">
                  <c:v>0</c:v>
                </c:pt>
                <c:pt idx="1">
                  <c:v>0</c:v>
                </c:pt>
                <c:pt idx="2">
                  <c:v>0</c:v>
                </c:pt>
                <c:pt idx="3">
                  <c:v>0</c:v>
                </c:pt>
                <c:pt idx="4">
                  <c:v>0</c:v>
                </c:pt>
                <c:pt idx="5">
                  <c:v>0</c:v>
                </c:pt>
                <c:pt idx="6">
                  <c:v>3.9024300000000003</c:v>
                </c:pt>
                <c:pt idx="7">
                  <c:v>0</c:v>
                </c:pt>
                <c:pt idx="8">
                  <c:v>18.64</c:v>
                </c:pt>
                <c:pt idx="9">
                  <c:v>0</c:v>
                </c:pt>
                <c:pt idx="10">
                  <c:v>16.056524748720033</c:v>
                </c:pt>
                <c:pt idx="11">
                  <c:v>0</c:v>
                </c:pt>
              </c:numCache>
            </c:numRef>
          </c:val>
          <c:extLst>
            <c:ext xmlns:c16="http://schemas.microsoft.com/office/drawing/2014/chart" uri="{C3380CC4-5D6E-409C-BE32-E72D297353CC}">
              <c16:uniqueId val="{00000000-B3C4-477A-927B-FDE2E6011FAD}"/>
            </c:ext>
          </c:extLst>
        </c:ser>
        <c:ser>
          <c:idx val="1"/>
          <c:order val="1"/>
          <c:tx>
            <c:strRef>
              <c:f>Grafer!$E$403</c:f>
              <c:strCache>
                <c:ptCount val="1"/>
                <c:pt idx="0">
                  <c:v>Fossil</c:v>
                </c:pt>
              </c:strCache>
            </c:strRef>
          </c:tx>
          <c:spPr>
            <a:solidFill>
              <a:schemeClr val="accent1">
                <a:lumMod val="75000"/>
              </a:schemeClr>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Grafer!$E$404:$E$415</c:f>
              <c:numCache>
                <c:formatCode>#,##0</c:formatCode>
                <c:ptCount val="12"/>
                <c:pt idx="0">
                  <c:v>0</c:v>
                </c:pt>
                <c:pt idx="1">
                  <c:v>0</c:v>
                </c:pt>
                <c:pt idx="2">
                  <c:v>0</c:v>
                </c:pt>
                <c:pt idx="3">
                  <c:v>0</c:v>
                </c:pt>
                <c:pt idx="4">
                  <c:v>0</c:v>
                </c:pt>
                <c:pt idx="5">
                  <c:v>0</c:v>
                </c:pt>
                <c:pt idx="6">
                  <c:v>88.723570000000024</c:v>
                </c:pt>
                <c:pt idx="7">
                  <c:v>0</c:v>
                </c:pt>
                <c:pt idx="8">
                  <c:v>0</c:v>
                </c:pt>
                <c:pt idx="9">
                  <c:v>0</c:v>
                </c:pt>
                <c:pt idx="10">
                  <c:v>20.435576952916403</c:v>
                </c:pt>
                <c:pt idx="11">
                  <c:v>0</c:v>
                </c:pt>
              </c:numCache>
            </c:numRef>
          </c:val>
          <c:extLst>
            <c:ext xmlns:c16="http://schemas.microsoft.com/office/drawing/2014/chart" uri="{C3380CC4-5D6E-409C-BE32-E72D297353CC}">
              <c16:uniqueId val="{00000001-B3C4-477A-927B-FDE2E6011FAD}"/>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72222222222213E-2"/>
          <c:y val="3.465346534653465E-2"/>
          <c:w val="0.78242305555555569"/>
          <c:h val="0.85396039603960394"/>
        </c:manualLayout>
      </c:layout>
      <c:barChart>
        <c:barDir val="col"/>
        <c:grouping val="clustered"/>
        <c:varyColors val="0"/>
        <c:ser>
          <c:idx val="0"/>
          <c:order val="0"/>
          <c:tx>
            <c:strRef>
              <c:f>Grafer!$C$449</c:f>
              <c:strCache>
                <c:ptCount val="1"/>
                <c:pt idx="0">
                  <c:v>2018</c:v>
                </c:pt>
              </c:strCache>
            </c:strRef>
          </c:tx>
          <c:spPr>
            <a:solidFill>
              <a:schemeClr val="accent5"/>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18.62</c:v>
                </c:pt>
                <c:pt idx="1">
                  <c:v>14.66</c:v>
                </c:pt>
                <c:pt idx="2">
                  <c:v>14.070000000000002</c:v>
                </c:pt>
                <c:pt idx="3">
                  <c:v>1.2700000000000002</c:v>
                </c:pt>
                <c:pt idx="4">
                  <c:v>19.63</c:v>
                </c:pt>
                <c:pt idx="5">
                  <c:v>7.43</c:v>
                </c:pt>
                <c:pt idx="6">
                  <c:v>0.95</c:v>
                </c:pt>
                <c:pt idx="7">
                  <c:v>13.995000000000001</c:v>
                </c:pt>
                <c:pt idx="8">
                  <c:v>2.0009999999999999</c:v>
                </c:pt>
              </c:numCache>
            </c:numRef>
          </c:val>
          <c:extLst>
            <c:ext xmlns:c16="http://schemas.microsoft.com/office/drawing/2014/chart" uri="{C3380CC4-5D6E-409C-BE32-E72D297353CC}">
              <c16:uniqueId val="{00000000-BA79-4A2C-8CFE-C9EC487ABC67}"/>
            </c:ext>
          </c:extLst>
        </c:ser>
        <c:ser>
          <c:idx val="2"/>
          <c:order val="1"/>
          <c:tx>
            <c:strRef>
              <c:f>Grafer!$D$449</c:f>
              <c:strCache>
                <c:ptCount val="1"/>
                <c:pt idx="0">
                  <c:v>BAU2030</c:v>
                </c:pt>
              </c:strCache>
            </c:strRef>
          </c:tx>
          <c:spPr>
            <a:solidFill>
              <a:schemeClr val="accent4"/>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Grafer!$D$450:$D$458</c:f>
              <c:numCache>
                <c:formatCode>#,##0</c:formatCode>
                <c:ptCount val="9"/>
                <c:pt idx="0">
                  <c:v>17.8752</c:v>
                </c:pt>
                <c:pt idx="1">
                  <c:v>11.596060000000001</c:v>
                </c:pt>
                <c:pt idx="2">
                  <c:v>13.706994</c:v>
                </c:pt>
                <c:pt idx="3">
                  <c:v>1.0863579999999999</c:v>
                </c:pt>
                <c:pt idx="4">
                  <c:v>18.870319000000002</c:v>
                </c:pt>
                <c:pt idx="5">
                  <c:v>7.43</c:v>
                </c:pt>
                <c:pt idx="6">
                  <c:v>0.28495823799999997</c:v>
                </c:pt>
                <c:pt idx="7">
                  <c:v>16.327966500000002</c:v>
                </c:pt>
                <c:pt idx="8">
                  <c:v>1.9765878000000001</c:v>
                </c:pt>
              </c:numCache>
            </c:numRef>
          </c:val>
          <c:extLst>
            <c:ext xmlns:c16="http://schemas.microsoft.com/office/drawing/2014/chart" uri="{C3380CC4-5D6E-409C-BE32-E72D297353CC}">
              <c16:uniqueId val="{00000001-BA79-4A2C-8CFE-C9EC487ABC67}"/>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Grafer!$C$449</c:f>
              <c:strCache>
                <c:ptCount val="1"/>
                <c:pt idx="0">
                  <c:v>2018</c:v>
                </c:pt>
              </c:strCache>
            </c:strRef>
          </c:tx>
          <c:dPt>
            <c:idx val="2"/>
            <c:bubble3D val="0"/>
            <c:spPr>
              <a:solidFill>
                <a:srgbClr val="71588F"/>
              </a:solidFill>
            </c:spPr>
            <c:extLst>
              <c:ext xmlns:c16="http://schemas.microsoft.com/office/drawing/2014/chart" uri="{C3380CC4-5D6E-409C-BE32-E72D297353CC}">
                <c16:uniqueId val="{00000001-4D3A-45F1-ADD6-2963AE3F1ACF}"/>
              </c:ext>
            </c:extLst>
          </c:dPt>
          <c:dPt>
            <c:idx val="3"/>
            <c:bubble3D val="0"/>
            <c:spPr>
              <a:solidFill>
                <a:srgbClr val="89A54E"/>
              </a:solidFill>
            </c:spPr>
            <c:extLst>
              <c:ext xmlns:c16="http://schemas.microsoft.com/office/drawing/2014/chart" uri="{C3380CC4-5D6E-409C-BE32-E72D297353CC}">
                <c16:uniqueId val="{00000003-4D3A-45F1-ADD6-2963AE3F1ACF}"/>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18.62</c:v>
                </c:pt>
                <c:pt idx="1">
                  <c:v>14.66</c:v>
                </c:pt>
                <c:pt idx="2">
                  <c:v>14.070000000000002</c:v>
                </c:pt>
                <c:pt idx="3">
                  <c:v>1.2700000000000002</c:v>
                </c:pt>
                <c:pt idx="4">
                  <c:v>19.63</c:v>
                </c:pt>
                <c:pt idx="5">
                  <c:v>7.43</c:v>
                </c:pt>
                <c:pt idx="6">
                  <c:v>0.95</c:v>
                </c:pt>
                <c:pt idx="7">
                  <c:v>13.995000000000001</c:v>
                </c:pt>
                <c:pt idx="8">
                  <c:v>2.0009999999999999</c:v>
                </c:pt>
              </c:numCache>
            </c:numRef>
          </c:val>
          <c:extLst>
            <c:ext xmlns:c16="http://schemas.microsoft.com/office/drawing/2014/chart" uri="{C3380CC4-5D6E-409C-BE32-E72D297353CC}">
              <c16:uniqueId val="{00000004-4D3A-45F1-ADD6-2963AE3F1AC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Grafer!$C$642</c:f>
              <c:strCache>
                <c:ptCount val="1"/>
                <c:pt idx="0">
                  <c:v>2018</c:v>
                </c:pt>
              </c:strCache>
            </c:strRef>
          </c:tx>
          <c:spPr>
            <a:solidFill>
              <a:schemeClr val="accent5"/>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Grafer!$C$643:$C$648</c:f>
              <c:numCache>
                <c:formatCode>#,##0</c:formatCode>
                <c:ptCount val="6"/>
                <c:pt idx="0">
                  <c:v>1.8314999999999999</c:v>
                </c:pt>
                <c:pt idx="1">
                  <c:v>3.6851999999999996E-2</c:v>
                </c:pt>
                <c:pt idx="2">
                  <c:v>5.6159000000000001E-2</c:v>
                </c:pt>
                <c:pt idx="3">
                  <c:v>6.5195312800000007</c:v>
                </c:pt>
                <c:pt idx="5">
                  <c:v>4.5293996632071147</c:v>
                </c:pt>
              </c:numCache>
            </c:numRef>
          </c:val>
          <c:extLst>
            <c:ext xmlns:c16="http://schemas.microsoft.com/office/drawing/2014/chart" uri="{C3380CC4-5D6E-409C-BE32-E72D297353CC}">
              <c16:uniqueId val="{00000000-5CC3-4CC9-8B0C-1CDC2D29EEF9}"/>
            </c:ext>
          </c:extLst>
        </c:ser>
        <c:ser>
          <c:idx val="1"/>
          <c:order val="1"/>
          <c:tx>
            <c:strRef>
              <c:f>Grafer!$D$642</c:f>
              <c:strCache>
                <c:ptCount val="1"/>
                <c:pt idx="0">
                  <c:v>BAU2030</c:v>
                </c:pt>
              </c:strCache>
            </c:strRef>
          </c:tx>
          <c:spPr>
            <a:solidFill>
              <a:schemeClr val="accent4"/>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Grafer!$D$643:$D$648</c:f>
              <c:numCache>
                <c:formatCode>#,##0</c:formatCode>
                <c:ptCount val="6"/>
                <c:pt idx="0">
                  <c:v>0.52747199999999994</c:v>
                </c:pt>
                <c:pt idx="1">
                  <c:v>3.537792E-2</c:v>
                </c:pt>
                <c:pt idx="2">
                  <c:v>5.6159000000000001E-2</c:v>
                </c:pt>
                <c:pt idx="3">
                  <c:v>6.2675864320420009</c:v>
                </c:pt>
                <c:pt idx="5">
                  <c:v>0</c:v>
                </c:pt>
              </c:numCache>
            </c:numRef>
          </c:val>
          <c:extLst>
            <c:ext xmlns:c16="http://schemas.microsoft.com/office/drawing/2014/chart" uri="{C3380CC4-5D6E-409C-BE32-E72D297353CC}">
              <c16:uniqueId val="{00000001-5CC3-4CC9-8B0C-1CDC2D29EEF9}"/>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6777637085187"/>
          <c:y val="4.8758435897136708E-2"/>
          <c:w val="0.55357579485996056"/>
          <c:h val="0.88874159115313645"/>
        </c:manualLayout>
      </c:layout>
      <c:pieChart>
        <c:varyColors val="1"/>
        <c:ser>
          <c:idx val="0"/>
          <c:order val="0"/>
          <c:tx>
            <c:strRef>
              <c:f>Grafer!$B$746</c:f>
              <c:strCache>
                <c:ptCount val="1"/>
                <c:pt idx="0">
                  <c:v>I alt</c:v>
                </c:pt>
              </c:strCache>
            </c:strRef>
          </c:tx>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Grafer!$C$746:$K$746</c:f>
              <c:numCache>
                <c:formatCode>#,##0</c:formatCode>
                <c:ptCount val="9"/>
                <c:pt idx="0">
                  <c:v>103.32919023101354</c:v>
                </c:pt>
                <c:pt idx="1">
                  <c:v>6.1932517850154802</c:v>
                </c:pt>
                <c:pt idx="2">
                  <c:v>6.9795018148194021</c:v>
                </c:pt>
                <c:pt idx="3">
                  <c:v>8.3938895380804972</c:v>
                </c:pt>
                <c:pt idx="4">
                  <c:v>3.56E-2</c:v>
                </c:pt>
                <c:pt idx="5">
                  <c:v>11.00537696</c:v>
                </c:pt>
                <c:pt idx="6">
                  <c:v>0.31273919999999994</c:v>
                </c:pt>
                <c:pt idx="7">
                  <c:v>14.621711764705882</c:v>
                </c:pt>
                <c:pt idx="8">
                  <c:v>85.954625999306501</c:v>
                </c:pt>
              </c:numCache>
            </c:numRef>
          </c:val>
          <c:extLst>
            <c:ext xmlns:c16="http://schemas.microsoft.com/office/drawing/2014/chart" uri="{C3380CC4-5D6E-409C-BE32-E72D297353CC}">
              <c16:uniqueId val="{00000000-B168-4A5B-B1C9-EF200FB2773B}"/>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3958333333341"/>
          <c:y val="6.5707070707070714E-2"/>
          <c:w val="0.48125000000000007"/>
          <c:h val="0.87500000000000289"/>
        </c:manualLayout>
      </c:layout>
      <c:pieChart>
        <c:varyColors val="1"/>
        <c:ser>
          <c:idx val="0"/>
          <c:order val="0"/>
          <c:tx>
            <c:strRef>
              <c:f>Grafer!$L$731</c:f>
              <c:strCache>
                <c:ptCount val="1"/>
                <c:pt idx="0">
                  <c:v>I alt</c:v>
                </c:pt>
              </c:strCache>
            </c:strRef>
          </c:tx>
          <c:dPt>
            <c:idx val="0"/>
            <c:bubble3D val="0"/>
            <c:spPr>
              <a:solidFill>
                <a:srgbClr val="9E413E"/>
              </a:solidFill>
            </c:spPr>
            <c:extLst>
              <c:ext xmlns:c16="http://schemas.microsoft.com/office/drawing/2014/chart" uri="{C3380CC4-5D6E-409C-BE32-E72D297353CC}">
                <c16:uniqueId val="{00000001-B30B-4025-A78C-D189F6487099}"/>
              </c:ext>
            </c:extLst>
          </c:dPt>
          <c:dPt>
            <c:idx val="1"/>
            <c:bubble3D val="0"/>
            <c:spPr>
              <a:solidFill>
                <a:srgbClr val="7F9A48"/>
              </a:solidFill>
            </c:spPr>
            <c:extLst>
              <c:ext xmlns:c16="http://schemas.microsoft.com/office/drawing/2014/chart" uri="{C3380CC4-5D6E-409C-BE32-E72D297353CC}">
                <c16:uniqueId val="{00000003-B30B-4025-A78C-D189F6487099}"/>
              </c:ext>
            </c:extLst>
          </c:dPt>
          <c:dPt>
            <c:idx val="2"/>
            <c:bubble3D val="0"/>
            <c:spPr>
              <a:solidFill>
                <a:srgbClr val="695185"/>
              </a:solidFill>
            </c:spPr>
            <c:extLst>
              <c:ext xmlns:c16="http://schemas.microsoft.com/office/drawing/2014/chart" uri="{C3380CC4-5D6E-409C-BE32-E72D297353CC}">
                <c16:uniqueId val="{00000005-B30B-4025-A78C-D189F6487099}"/>
              </c:ext>
            </c:extLst>
          </c:dPt>
          <c:dPt>
            <c:idx val="3"/>
            <c:bubble3D val="0"/>
            <c:spPr>
              <a:solidFill>
                <a:srgbClr val="3C8DA3"/>
              </a:solidFill>
            </c:spPr>
            <c:extLst>
              <c:ext xmlns:c16="http://schemas.microsoft.com/office/drawing/2014/chart" uri="{C3380CC4-5D6E-409C-BE32-E72D297353CC}">
                <c16:uniqueId val="{00000007-B30B-4025-A78C-D189F6487099}"/>
              </c:ext>
            </c:extLst>
          </c:dPt>
          <c:dPt>
            <c:idx val="4"/>
            <c:bubble3D val="0"/>
            <c:spPr>
              <a:solidFill>
                <a:srgbClr val="CC7B38"/>
              </a:solidFill>
            </c:spPr>
            <c:extLst>
              <c:ext xmlns:c16="http://schemas.microsoft.com/office/drawing/2014/chart" uri="{C3380CC4-5D6E-409C-BE32-E72D297353CC}">
                <c16:uniqueId val="{00000009-B30B-4025-A78C-D189F6487099}"/>
              </c:ext>
            </c:extLst>
          </c:dPt>
          <c:dPt>
            <c:idx val="5"/>
            <c:bubble3D val="0"/>
            <c:spPr>
              <a:solidFill>
                <a:srgbClr val="4F81BD"/>
              </a:solidFill>
            </c:spPr>
            <c:extLst>
              <c:ext xmlns:c16="http://schemas.microsoft.com/office/drawing/2014/chart" uri="{C3380CC4-5D6E-409C-BE32-E72D297353CC}">
                <c16:uniqueId val="{0000000B-B30B-4025-A78C-D189F6487099}"/>
              </c:ext>
            </c:extLst>
          </c:dPt>
          <c:dPt>
            <c:idx val="6"/>
            <c:bubble3D val="0"/>
            <c:spPr>
              <a:solidFill>
                <a:srgbClr val="D9AAA9"/>
              </a:solidFill>
            </c:spPr>
            <c:extLst>
              <c:ext xmlns:c16="http://schemas.microsoft.com/office/drawing/2014/chart" uri="{C3380CC4-5D6E-409C-BE32-E72D297353CC}">
                <c16:uniqueId val="{0000000D-B30B-4025-A78C-D189F6487099}"/>
              </c:ext>
            </c:extLst>
          </c:dPt>
          <c:dPt>
            <c:idx val="7"/>
            <c:bubble3D val="0"/>
            <c:spPr>
              <a:solidFill>
                <a:srgbClr val="C0504D"/>
              </a:solidFill>
            </c:spPr>
            <c:extLst>
              <c:ext xmlns:c16="http://schemas.microsoft.com/office/drawing/2014/chart" uri="{C3380CC4-5D6E-409C-BE32-E72D297353CC}">
                <c16:uniqueId val="{0000000F-B30B-4025-A78C-D189F6487099}"/>
              </c:ext>
            </c:extLst>
          </c:dPt>
          <c:dPt>
            <c:idx val="8"/>
            <c:bubble3D val="0"/>
            <c:spPr>
              <a:solidFill>
                <a:srgbClr val="9BBB59"/>
              </a:solidFill>
            </c:spPr>
            <c:extLst>
              <c:ext xmlns:c16="http://schemas.microsoft.com/office/drawing/2014/chart" uri="{C3380CC4-5D6E-409C-BE32-E72D297353CC}">
                <c16:uniqueId val="{00000011-B30B-4025-A78C-D189F6487099}"/>
              </c:ext>
            </c:extLst>
          </c:dPt>
          <c:dPt>
            <c:idx val="9"/>
            <c:bubble3D val="0"/>
            <c:spPr>
              <a:solidFill>
                <a:srgbClr val="8064A2"/>
              </a:solidFill>
            </c:spPr>
            <c:extLst>
              <c:ext xmlns:c16="http://schemas.microsoft.com/office/drawing/2014/chart" uri="{C3380CC4-5D6E-409C-BE32-E72D297353CC}">
                <c16:uniqueId val="{00000013-B30B-4025-A78C-D189F6487099}"/>
              </c:ext>
            </c:extLst>
          </c:dPt>
          <c:dPt>
            <c:idx val="11"/>
            <c:bubble3D val="0"/>
            <c:spPr>
              <a:solidFill>
                <a:schemeClr val="accent5">
                  <a:lumMod val="40000"/>
                  <a:lumOff val="60000"/>
                </a:schemeClr>
              </a:solidFill>
            </c:spPr>
            <c:extLst>
              <c:ext xmlns:c16="http://schemas.microsoft.com/office/drawing/2014/chart" uri="{C3380CC4-5D6E-409C-BE32-E72D297353CC}">
                <c16:uniqueId val="{00000015-B30B-4025-A78C-D189F6487099}"/>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Grafer!$B$732:$B$745</c:f>
              <c:strCache>
                <c:ptCount val="14"/>
                <c:pt idx="0">
                  <c:v>El</c:v>
                </c:pt>
                <c:pt idx="1">
                  <c:v>Kul</c:v>
                </c:pt>
                <c:pt idx="2">
                  <c:v>Naturgas og LPG</c:v>
                </c:pt>
                <c:pt idx="3">
                  <c:v>Fuelolie</c:v>
                </c:pt>
                <c:pt idx="4">
                  <c:v>Brændselsolie/diesel</c:v>
                </c:pt>
                <c:pt idx="5">
                  <c:v>Benzin</c:v>
                </c:pt>
                <c:pt idx="6">
                  <c:v>JP1</c:v>
                </c:pt>
                <c:pt idx="7">
                  <c:v>Affald, ikke bionedbrydeligt</c:v>
                </c:pt>
                <c:pt idx="8">
                  <c:v>Biobrændstof</c:v>
                </c:pt>
                <c:pt idx="9">
                  <c:v>Biomasse</c:v>
                </c:pt>
                <c:pt idx="10">
                  <c:v>Fjernvarme</c:v>
                </c:pt>
                <c:pt idx="11">
                  <c:v>Procesvarme fra KV-produktion</c:v>
                </c:pt>
                <c:pt idx="12">
                  <c:v>Biogas</c:v>
                </c:pt>
                <c:pt idx="13">
                  <c:v>Solenergi og jordvarme</c:v>
                </c:pt>
              </c:strCache>
            </c:strRef>
          </c:cat>
          <c:val>
            <c:numRef>
              <c:f>Grafer!$L$732:$L$745</c:f>
              <c:numCache>
                <c:formatCode>#,##0</c:formatCode>
                <c:ptCount val="14"/>
                <c:pt idx="0">
                  <c:v>60.812776300941302</c:v>
                </c:pt>
                <c:pt idx="1">
                  <c:v>0</c:v>
                </c:pt>
                <c:pt idx="2">
                  <c:v>0.89</c:v>
                </c:pt>
                <c:pt idx="3">
                  <c:v>3.2597399999999998E-4</c:v>
                </c:pt>
                <c:pt idx="4">
                  <c:v>59.317445647000007</c:v>
                </c:pt>
                <c:pt idx="5">
                  <c:v>16.864876500000001</c:v>
                </c:pt>
                <c:pt idx="6">
                  <c:v>16.310466000000002</c:v>
                </c:pt>
                <c:pt idx="7">
                  <c:v>0</c:v>
                </c:pt>
                <c:pt idx="8">
                  <c:v>3.7886675909999994</c:v>
                </c:pt>
                <c:pt idx="9">
                  <c:v>49.388799999999996</c:v>
                </c:pt>
                <c:pt idx="10">
                  <c:v>20.870129279999997</c:v>
                </c:pt>
                <c:pt idx="11">
                  <c:v>0</c:v>
                </c:pt>
                <c:pt idx="12">
                  <c:v>0</c:v>
                </c:pt>
                <c:pt idx="13">
                  <c:v>8.5823999999999998</c:v>
                </c:pt>
              </c:numCache>
            </c:numRef>
          </c:val>
          <c:extLst>
            <c:ext xmlns:c16="http://schemas.microsoft.com/office/drawing/2014/chart" uri="{C3380CC4-5D6E-409C-BE32-E72D297353CC}">
              <c16:uniqueId val="{00000016-B30B-4025-A78C-D189F6487099}"/>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Grafer!$C$911</c:f>
              <c:strCache>
                <c:ptCount val="1"/>
                <c:pt idx="0">
                  <c:v>2018</c:v>
                </c:pt>
              </c:strCache>
            </c:strRef>
          </c:tx>
          <c:spPr>
            <a:solidFill>
              <a:srgbClr val="4BACC6"/>
            </a:solidFill>
          </c:spPr>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Grafer!$C$912:$C$920</c:f>
              <c:numCache>
                <c:formatCode>#,##0</c:formatCode>
                <c:ptCount val="9"/>
                <c:pt idx="0">
                  <c:v>16.304788500000004</c:v>
                </c:pt>
                <c:pt idx="1">
                  <c:v>0</c:v>
                </c:pt>
                <c:pt idx="2">
                  <c:v>19.8</c:v>
                </c:pt>
                <c:pt idx="3">
                  <c:v>4.2750000000000004</c:v>
                </c:pt>
                <c:pt idx="4">
                  <c:v>19.168499999999998</c:v>
                </c:pt>
                <c:pt idx="5">
                  <c:v>0.79299999999999993</c:v>
                </c:pt>
                <c:pt idx="6">
                  <c:v>5.8822222222222216</c:v>
                </c:pt>
                <c:pt idx="7">
                  <c:v>1.65</c:v>
                </c:pt>
                <c:pt idx="8">
                  <c:v>0.91</c:v>
                </c:pt>
              </c:numCache>
            </c:numRef>
          </c:val>
          <c:extLst>
            <c:ext xmlns:c16="http://schemas.microsoft.com/office/drawing/2014/chart" uri="{C3380CC4-5D6E-409C-BE32-E72D297353CC}">
              <c16:uniqueId val="{00000000-D38C-4D68-8E12-98A65FCB8E03}"/>
            </c:ext>
          </c:extLst>
        </c:ser>
        <c:ser>
          <c:idx val="3"/>
          <c:order val="1"/>
          <c:tx>
            <c:strRef>
              <c:f>Grafer!$D$911</c:f>
              <c:strCache>
                <c:ptCount val="1"/>
                <c:pt idx="0">
                  <c:v>BAU2030</c:v>
                </c:pt>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Grafer!$D$912:$D$920</c:f>
              <c:numCache>
                <c:formatCode>#,##0</c:formatCode>
                <c:ptCount val="9"/>
                <c:pt idx="0">
                  <c:v>15.652596959999999</c:v>
                </c:pt>
                <c:pt idx="1">
                  <c:v>0</c:v>
                </c:pt>
                <c:pt idx="2">
                  <c:v>5.702399999999999</c:v>
                </c:pt>
                <c:pt idx="3">
                  <c:v>7.4303999999999997</c:v>
                </c:pt>
                <c:pt idx="4">
                  <c:v>18.401759999999999</c:v>
                </c:pt>
                <c:pt idx="5">
                  <c:v>0.76127999999999996</c:v>
                </c:pt>
                <c:pt idx="6">
                  <c:v>5.6918222222222212</c:v>
                </c:pt>
                <c:pt idx="7">
                  <c:v>11.5632</c:v>
                </c:pt>
                <c:pt idx="8">
                  <c:v>0.87360000000000004</c:v>
                </c:pt>
              </c:numCache>
            </c:numRef>
          </c:val>
          <c:extLst>
            <c:ext xmlns:c16="http://schemas.microsoft.com/office/drawing/2014/chart" uri="{C3380CC4-5D6E-409C-BE32-E72D297353CC}">
              <c16:uniqueId val="{00000001-D38C-4D68-8E12-98A65FCB8E03}"/>
            </c:ext>
          </c:extLst>
        </c:ser>
        <c:ser>
          <c:idx val="1"/>
          <c:order val="2"/>
          <c:tx>
            <c:strRef>
              <c:f>Grafer!$E$911</c:f>
              <c:strCache>
                <c:ptCount val="1"/>
                <c:pt idx="0">
                  <c:v>BAU2050</c:v>
                </c:pt>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Grafer!$E$912:$E$920</c:f>
              <c:numCache>
                <c:formatCode>#,##0</c:formatCode>
                <c:ptCount val="9"/>
                <c:pt idx="0">
                  <c:v>14.674309650000001</c:v>
                </c:pt>
                <c:pt idx="1">
                  <c:v>0</c:v>
                </c:pt>
                <c:pt idx="2">
                  <c:v>0</c:v>
                </c:pt>
                <c:pt idx="3">
                  <c:v>8.3025000000000002</c:v>
                </c:pt>
                <c:pt idx="4">
                  <c:v>17.251649999999998</c:v>
                </c:pt>
                <c:pt idx="5">
                  <c:v>0.7137</c:v>
                </c:pt>
                <c:pt idx="6">
                  <c:v>5.4062222222222225</c:v>
                </c:pt>
                <c:pt idx="7">
                  <c:v>14.850000000000001</c:v>
                </c:pt>
                <c:pt idx="8">
                  <c:v>0.81900000000000006</c:v>
                </c:pt>
              </c:numCache>
            </c:numRef>
          </c:val>
          <c:extLst>
            <c:ext xmlns:c16="http://schemas.microsoft.com/office/drawing/2014/chart" uri="{C3380CC4-5D6E-409C-BE32-E72D297353CC}">
              <c16:uniqueId val="{00000002-D38C-4D68-8E12-98A65FCB8E03}"/>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da-DK"/>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Grafer!$B$912</c:f>
              <c:strCache>
                <c:ptCount val="1"/>
                <c:pt idx="0">
                  <c:v>Fjernvarme</c:v>
                </c:pt>
              </c:strCache>
            </c:strRef>
          </c:tx>
          <c:spPr>
            <a:solidFill>
              <a:srgbClr val="4BACC6"/>
            </a:solidFill>
          </c:spPr>
          <c:invertIfNegative val="0"/>
          <c:cat>
            <c:strRef>
              <c:f>Grafer!$C$911:$E$911</c:f>
              <c:strCache>
                <c:ptCount val="3"/>
                <c:pt idx="0">
                  <c:v>2018</c:v>
                </c:pt>
                <c:pt idx="1">
                  <c:v>BAU2030</c:v>
                </c:pt>
                <c:pt idx="2">
                  <c:v>BAU2050</c:v>
                </c:pt>
              </c:strCache>
            </c:strRef>
          </c:cat>
          <c:val>
            <c:numRef>
              <c:f>Grafer!$C$912:$E$912</c:f>
              <c:numCache>
                <c:formatCode>#,##0</c:formatCode>
                <c:ptCount val="3"/>
                <c:pt idx="0">
                  <c:v>16.304788500000004</c:v>
                </c:pt>
                <c:pt idx="1">
                  <c:v>15.652596959999999</c:v>
                </c:pt>
                <c:pt idx="2">
                  <c:v>14.674309650000001</c:v>
                </c:pt>
              </c:numCache>
            </c:numRef>
          </c:val>
          <c:extLst>
            <c:ext xmlns:c16="http://schemas.microsoft.com/office/drawing/2014/chart" uri="{C3380CC4-5D6E-409C-BE32-E72D297353CC}">
              <c16:uniqueId val="{00000000-C5AA-4AC1-8E99-A8CAEDF838D0}"/>
            </c:ext>
          </c:extLst>
        </c:ser>
        <c:ser>
          <c:idx val="1"/>
          <c:order val="1"/>
          <c:tx>
            <c:strRef>
              <c:f>Grafer!$B$913</c:f>
              <c:strCache>
                <c:ptCount val="1"/>
                <c:pt idx="0">
                  <c:v>Naturgasfyr</c:v>
                </c:pt>
              </c:strCache>
            </c:strRef>
          </c:tx>
          <c:spPr>
            <a:solidFill>
              <a:srgbClr val="695185"/>
            </a:solidFill>
          </c:spPr>
          <c:invertIfNegative val="0"/>
          <c:cat>
            <c:strRef>
              <c:f>Grafer!$C$911:$E$911</c:f>
              <c:strCache>
                <c:ptCount val="3"/>
                <c:pt idx="0">
                  <c:v>2018</c:v>
                </c:pt>
                <c:pt idx="1">
                  <c:v>BAU2030</c:v>
                </c:pt>
                <c:pt idx="2">
                  <c:v>BAU2050</c:v>
                </c:pt>
              </c:strCache>
            </c:strRef>
          </c:cat>
          <c:val>
            <c:numRef>
              <c:f>Grafer!$C$913:$E$913</c:f>
              <c:numCache>
                <c:formatCode>#,##0</c:formatCode>
                <c:ptCount val="3"/>
                <c:pt idx="0">
                  <c:v>0</c:v>
                </c:pt>
                <c:pt idx="1">
                  <c:v>0</c:v>
                </c:pt>
                <c:pt idx="2">
                  <c:v>0</c:v>
                </c:pt>
              </c:numCache>
            </c:numRef>
          </c:val>
          <c:extLst>
            <c:ext xmlns:c16="http://schemas.microsoft.com/office/drawing/2014/chart" uri="{C3380CC4-5D6E-409C-BE32-E72D297353CC}">
              <c16:uniqueId val="{00000001-C5AA-4AC1-8E99-A8CAEDF838D0}"/>
            </c:ext>
          </c:extLst>
        </c:ser>
        <c:ser>
          <c:idx val="2"/>
          <c:order val="2"/>
          <c:tx>
            <c:strRef>
              <c:f>Grafer!$B$914</c:f>
              <c:strCache>
                <c:ptCount val="1"/>
                <c:pt idx="0">
                  <c:v>Oliefyr</c:v>
                </c:pt>
              </c:strCache>
            </c:strRef>
          </c:tx>
          <c:spPr>
            <a:solidFill>
              <a:srgbClr val="CC7B38"/>
            </a:solidFill>
          </c:spPr>
          <c:invertIfNegative val="0"/>
          <c:cat>
            <c:strRef>
              <c:f>Grafer!$C$911:$E$911</c:f>
              <c:strCache>
                <c:ptCount val="3"/>
                <c:pt idx="0">
                  <c:v>2018</c:v>
                </c:pt>
                <c:pt idx="1">
                  <c:v>BAU2030</c:v>
                </c:pt>
                <c:pt idx="2">
                  <c:v>BAU2050</c:v>
                </c:pt>
              </c:strCache>
            </c:strRef>
          </c:cat>
          <c:val>
            <c:numRef>
              <c:f>Grafer!$C$914:$E$914</c:f>
              <c:numCache>
                <c:formatCode>#,##0</c:formatCode>
                <c:ptCount val="3"/>
                <c:pt idx="0">
                  <c:v>19.8</c:v>
                </c:pt>
                <c:pt idx="1">
                  <c:v>5.702399999999999</c:v>
                </c:pt>
                <c:pt idx="2">
                  <c:v>0</c:v>
                </c:pt>
              </c:numCache>
            </c:numRef>
          </c:val>
          <c:extLst>
            <c:ext xmlns:c16="http://schemas.microsoft.com/office/drawing/2014/chart" uri="{C3380CC4-5D6E-409C-BE32-E72D297353CC}">
              <c16:uniqueId val="{00000002-C5AA-4AC1-8E99-A8CAEDF838D0}"/>
            </c:ext>
          </c:extLst>
        </c:ser>
        <c:ser>
          <c:idx val="3"/>
          <c:order val="3"/>
          <c:tx>
            <c:strRef>
              <c:f>Grafer!$B$915</c:f>
              <c:strCache>
                <c:ptCount val="1"/>
                <c:pt idx="0">
                  <c:v>Træpille- og stokerfyr</c:v>
                </c:pt>
              </c:strCache>
            </c:strRef>
          </c:tx>
          <c:spPr>
            <a:solidFill>
              <a:srgbClr val="9BBB59"/>
            </a:solidFill>
          </c:spPr>
          <c:invertIfNegative val="0"/>
          <c:cat>
            <c:strRef>
              <c:f>Grafer!$C$911:$E$911</c:f>
              <c:strCache>
                <c:ptCount val="3"/>
                <c:pt idx="0">
                  <c:v>2018</c:v>
                </c:pt>
                <c:pt idx="1">
                  <c:v>BAU2030</c:v>
                </c:pt>
                <c:pt idx="2">
                  <c:v>BAU2050</c:v>
                </c:pt>
              </c:strCache>
            </c:strRef>
          </c:cat>
          <c:val>
            <c:numRef>
              <c:f>Grafer!$C$915:$E$915</c:f>
              <c:numCache>
                <c:formatCode>#,##0</c:formatCode>
                <c:ptCount val="3"/>
                <c:pt idx="0">
                  <c:v>4.2750000000000004</c:v>
                </c:pt>
                <c:pt idx="1">
                  <c:v>7.4303999999999997</c:v>
                </c:pt>
                <c:pt idx="2">
                  <c:v>8.3025000000000002</c:v>
                </c:pt>
              </c:numCache>
            </c:numRef>
          </c:val>
          <c:extLst>
            <c:ext xmlns:c16="http://schemas.microsoft.com/office/drawing/2014/chart" uri="{C3380CC4-5D6E-409C-BE32-E72D297353CC}">
              <c16:uniqueId val="{00000003-C5AA-4AC1-8E99-A8CAEDF838D0}"/>
            </c:ext>
          </c:extLst>
        </c:ser>
        <c:ser>
          <c:idx val="4"/>
          <c:order val="4"/>
          <c:tx>
            <c:strRef>
              <c:f>Grafer!$B$916</c:f>
              <c:strCache>
                <c:ptCount val="1"/>
                <c:pt idx="0">
                  <c:v>Brændekedel og -ovn</c:v>
                </c:pt>
              </c:strCache>
            </c:strRef>
          </c:tx>
          <c:spPr>
            <a:solidFill>
              <a:srgbClr val="C6D6AC"/>
            </a:solidFill>
          </c:spPr>
          <c:invertIfNegative val="0"/>
          <c:cat>
            <c:strRef>
              <c:f>Grafer!$C$911:$E$911</c:f>
              <c:strCache>
                <c:ptCount val="3"/>
                <c:pt idx="0">
                  <c:v>2018</c:v>
                </c:pt>
                <c:pt idx="1">
                  <c:v>BAU2030</c:v>
                </c:pt>
                <c:pt idx="2">
                  <c:v>BAU2050</c:v>
                </c:pt>
              </c:strCache>
            </c:strRef>
          </c:cat>
          <c:val>
            <c:numRef>
              <c:f>Grafer!$C$916:$E$916</c:f>
              <c:numCache>
                <c:formatCode>#,##0</c:formatCode>
                <c:ptCount val="3"/>
                <c:pt idx="0">
                  <c:v>19.168499999999998</c:v>
                </c:pt>
                <c:pt idx="1">
                  <c:v>18.401759999999999</c:v>
                </c:pt>
                <c:pt idx="2">
                  <c:v>17.251649999999998</c:v>
                </c:pt>
              </c:numCache>
            </c:numRef>
          </c:val>
          <c:extLst>
            <c:ext xmlns:c16="http://schemas.microsoft.com/office/drawing/2014/chart" uri="{C3380CC4-5D6E-409C-BE32-E72D297353CC}">
              <c16:uniqueId val="{00000004-C5AA-4AC1-8E99-A8CAEDF838D0}"/>
            </c:ext>
          </c:extLst>
        </c:ser>
        <c:ser>
          <c:idx val="5"/>
          <c:order val="5"/>
          <c:tx>
            <c:strRef>
              <c:f>Grafer!$B$917</c:f>
              <c:strCache>
                <c:ptCount val="1"/>
                <c:pt idx="0">
                  <c:v>Halmfyr</c:v>
                </c:pt>
              </c:strCache>
            </c:strRef>
          </c:tx>
          <c:spPr>
            <a:solidFill>
              <a:srgbClr val="8064A2"/>
            </a:solidFill>
          </c:spPr>
          <c:invertIfNegative val="0"/>
          <c:cat>
            <c:strRef>
              <c:f>Grafer!$C$911:$E$911</c:f>
              <c:strCache>
                <c:ptCount val="3"/>
                <c:pt idx="0">
                  <c:v>2018</c:v>
                </c:pt>
                <c:pt idx="1">
                  <c:v>BAU2030</c:v>
                </c:pt>
                <c:pt idx="2">
                  <c:v>BAU2050</c:v>
                </c:pt>
              </c:strCache>
            </c:strRef>
          </c:cat>
          <c:val>
            <c:numRef>
              <c:f>Grafer!$C$917:$E$917</c:f>
              <c:numCache>
                <c:formatCode>#,##0</c:formatCode>
                <c:ptCount val="3"/>
                <c:pt idx="0">
                  <c:v>0.79299999999999993</c:v>
                </c:pt>
                <c:pt idx="1">
                  <c:v>0.76127999999999996</c:v>
                </c:pt>
                <c:pt idx="2">
                  <c:v>0.7137</c:v>
                </c:pt>
              </c:numCache>
            </c:numRef>
          </c:val>
          <c:extLst>
            <c:ext xmlns:c16="http://schemas.microsoft.com/office/drawing/2014/chart" uri="{C3380CC4-5D6E-409C-BE32-E72D297353CC}">
              <c16:uniqueId val="{00000005-C5AA-4AC1-8E99-A8CAEDF838D0}"/>
            </c:ext>
          </c:extLst>
        </c:ser>
        <c:ser>
          <c:idx val="6"/>
          <c:order val="6"/>
          <c:tx>
            <c:strRef>
              <c:f>Grafer!$B$918</c:f>
              <c:strCache>
                <c:ptCount val="1"/>
                <c:pt idx="0">
                  <c:v>Elvarme</c:v>
                </c:pt>
              </c:strCache>
            </c:strRef>
          </c:tx>
          <c:spPr>
            <a:solidFill>
              <a:srgbClr val="9E413E"/>
            </a:solidFill>
          </c:spPr>
          <c:invertIfNegative val="0"/>
          <c:cat>
            <c:strRef>
              <c:f>Grafer!$C$911:$E$911</c:f>
              <c:strCache>
                <c:ptCount val="3"/>
                <c:pt idx="0">
                  <c:v>2018</c:v>
                </c:pt>
                <c:pt idx="1">
                  <c:v>BAU2030</c:v>
                </c:pt>
                <c:pt idx="2">
                  <c:v>BAU2050</c:v>
                </c:pt>
              </c:strCache>
            </c:strRef>
          </c:cat>
          <c:val>
            <c:numRef>
              <c:f>Grafer!$C$918:$E$918</c:f>
              <c:numCache>
                <c:formatCode>#,##0</c:formatCode>
                <c:ptCount val="3"/>
                <c:pt idx="0">
                  <c:v>5.8822222222222216</c:v>
                </c:pt>
                <c:pt idx="1">
                  <c:v>5.6918222222222212</c:v>
                </c:pt>
                <c:pt idx="2">
                  <c:v>5.4062222222222225</c:v>
                </c:pt>
              </c:numCache>
            </c:numRef>
          </c:val>
          <c:extLst>
            <c:ext xmlns:c16="http://schemas.microsoft.com/office/drawing/2014/chart" uri="{C3380CC4-5D6E-409C-BE32-E72D297353CC}">
              <c16:uniqueId val="{00000006-C5AA-4AC1-8E99-A8CAEDF838D0}"/>
            </c:ext>
          </c:extLst>
        </c:ser>
        <c:ser>
          <c:idx val="7"/>
          <c:order val="7"/>
          <c:tx>
            <c:strRef>
              <c:f>Grafer!$B$919</c:f>
              <c:strCache>
                <c:ptCount val="1"/>
                <c:pt idx="0">
                  <c:v>Individuelle varmepumper</c:v>
                </c:pt>
              </c:strCache>
            </c:strRef>
          </c:tx>
          <c:spPr>
            <a:solidFill>
              <a:srgbClr val="AABAD7"/>
            </a:solidFill>
          </c:spPr>
          <c:invertIfNegative val="0"/>
          <c:cat>
            <c:strRef>
              <c:f>Grafer!$C$911:$E$911</c:f>
              <c:strCache>
                <c:ptCount val="3"/>
                <c:pt idx="0">
                  <c:v>2018</c:v>
                </c:pt>
                <c:pt idx="1">
                  <c:v>BAU2030</c:v>
                </c:pt>
                <c:pt idx="2">
                  <c:v>BAU2050</c:v>
                </c:pt>
              </c:strCache>
            </c:strRef>
          </c:cat>
          <c:val>
            <c:numRef>
              <c:f>Grafer!$C$919:$E$919</c:f>
              <c:numCache>
                <c:formatCode>#,##0</c:formatCode>
                <c:ptCount val="3"/>
                <c:pt idx="0">
                  <c:v>1.65</c:v>
                </c:pt>
                <c:pt idx="1">
                  <c:v>11.5632</c:v>
                </c:pt>
                <c:pt idx="2">
                  <c:v>14.850000000000001</c:v>
                </c:pt>
              </c:numCache>
            </c:numRef>
          </c:val>
          <c:extLst>
            <c:ext xmlns:c16="http://schemas.microsoft.com/office/drawing/2014/chart" uri="{C3380CC4-5D6E-409C-BE32-E72D297353CC}">
              <c16:uniqueId val="{00000007-C5AA-4AC1-8E99-A8CAEDF838D0}"/>
            </c:ext>
          </c:extLst>
        </c:ser>
        <c:ser>
          <c:idx val="8"/>
          <c:order val="8"/>
          <c:tx>
            <c:strRef>
              <c:f>Grafer!$B$920</c:f>
              <c:strCache>
                <c:ptCount val="1"/>
                <c:pt idx="0">
                  <c:v>Individuel solvarme</c:v>
                </c:pt>
              </c:strCache>
            </c:strRef>
          </c:tx>
          <c:spPr>
            <a:solidFill>
              <a:srgbClr val="F79646"/>
            </a:solidFill>
          </c:spPr>
          <c:invertIfNegative val="0"/>
          <c:cat>
            <c:strRef>
              <c:f>Grafer!$C$911:$E$911</c:f>
              <c:strCache>
                <c:ptCount val="3"/>
                <c:pt idx="0">
                  <c:v>2018</c:v>
                </c:pt>
                <c:pt idx="1">
                  <c:v>BAU2030</c:v>
                </c:pt>
                <c:pt idx="2">
                  <c:v>BAU2050</c:v>
                </c:pt>
              </c:strCache>
            </c:strRef>
          </c:cat>
          <c:val>
            <c:numRef>
              <c:f>Grafer!$C$920:$E$920</c:f>
              <c:numCache>
                <c:formatCode>#,##0</c:formatCode>
                <c:ptCount val="3"/>
                <c:pt idx="0">
                  <c:v>0.91</c:v>
                </c:pt>
                <c:pt idx="1">
                  <c:v>0.87360000000000004</c:v>
                </c:pt>
                <c:pt idx="2">
                  <c:v>0.81900000000000006</c:v>
                </c:pt>
              </c:numCache>
            </c:numRef>
          </c:val>
          <c:extLst>
            <c:ext xmlns:c16="http://schemas.microsoft.com/office/drawing/2014/chart" uri="{C3380CC4-5D6E-409C-BE32-E72D297353CC}">
              <c16:uniqueId val="{00000008-C5AA-4AC1-8E99-A8CAEDF838D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dPt>
            <c:idx val="0"/>
            <c:bubble3D val="0"/>
            <c:spPr>
              <a:solidFill>
                <a:srgbClr val="4BACC6"/>
              </a:solidFill>
            </c:spPr>
            <c:extLst>
              <c:ext xmlns:c16="http://schemas.microsoft.com/office/drawing/2014/chart" uri="{C3380CC4-5D6E-409C-BE32-E72D297353CC}">
                <c16:uniqueId val="{00000001-C533-49C1-9C96-A8BA00500AF1}"/>
              </c:ext>
            </c:extLst>
          </c:dPt>
          <c:dPt>
            <c:idx val="1"/>
            <c:bubble3D val="0"/>
            <c:spPr>
              <a:solidFill>
                <a:srgbClr val="695185"/>
              </a:solidFill>
            </c:spPr>
            <c:extLst>
              <c:ext xmlns:c16="http://schemas.microsoft.com/office/drawing/2014/chart" uri="{C3380CC4-5D6E-409C-BE32-E72D297353CC}">
                <c16:uniqueId val="{00000003-C533-49C1-9C96-A8BA00500AF1}"/>
              </c:ext>
            </c:extLst>
          </c:dPt>
          <c:dPt>
            <c:idx val="2"/>
            <c:bubble3D val="0"/>
            <c:spPr>
              <a:solidFill>
                <a:srgbClr val="CC7B38"/>
              </a:solidFill>
            </c:spPr>
            <c:extLst>
              <c:ext xmlns:c16="http://schemas.microsoft.com/office/drawing/2014/chart" uri="{C3380CC4-5D6E-409C-BE32-E72D297353CC}">
                <c16:uniqueId val="{00000005-C533-49C1-9C96-A8BA00500AF1}"/>
              </c:ext>
            </c:extLst>
          </c:dPt>
          <c:dPt>
            <c:idx val="3"/>
            <c:bubble3D val="0"/>
            <c:spPr>
              <a:solidFill>
                <a:srgbClr val="9BBB59"/>
              </a:solidFill>
            </c:spPr>
            <c:extLst>
              <c:ext xmlns:c16="http://schemas.microsoft.com/office/drawing/2014/chart" uri="{C3380CC4-5D6E-409C-BE32-E72D297353CC}">
                <c16:uniqueId val="{00000007-C533-49C1-9C96-A8BA00500AF1}"/>
              </c:ext>
            </c:extLst>
          </c:dPt>
          <c:dPt>
            <c:idx val="4"/>
            <c:bubble3D val="0"/>
            <c:spPr>
              <a:solidFill>
                <a:srgbClr val="C6D6AC"/>
              </a:solidFill>
            </c:spPr>
            <c:extLst>
              <c:ext xmlns:c16="http://schemas.microsoft.com/office/drawing/2014/chart" uri="{C3380CC4-5D6E-409C-BE32-E72D297353CC}">
                <c16:uniqueId val="{00000009-C533-49C1-9C96-A8BA00500AF1}"/>
              </c:ext>
            </c:extLst>
          </c:dPt>
          <c:dPt>
            <c:idx val="5"/>
            <c:bubble3D val="0"/>
            <c:spPr>
              <a:solidFill>
                <a:srgbClr val="8064A2"/>
              </a:solidFill>
            </c:spPr>
            <c:extLst>
              <c:ext xmlns:c16="http://schemas.microsoft.com/office/drawing/2014/chart" uri="{C3380CC4-5D6E-409C-BE32-E72D297353CC}">
                <c16:uniqueId val="{0000000B-C533-49C1-9C96-A8BA00500AF1}"/>
              </c:ext>
            </c:extLst>
          </c:dPt>
          <c:dPt>
            <c:idx val="6"/>
            <c:bubble3D val="0"/>
            <c:spPr>
              <a:solidFill>
                <a:srgbClr val="9E413E"/>
              </a:solidFill>
            </c:spPr>
            <c:extLst>
              <c:ext xmlns:c16="http://schemas.microsoft.com/office/drawing/2014/chart" uri="{C3380CC4-5D6E-409C-BE32-E72D297353CC}">
                <c16:uniqueId val="{0000000D-C533-49C1-9C96-A8BA00500AF1}"/>
              </c:ext>
            </c:extLst>
          </c:dPt>
          <c:dPt>
            <c:idx val="7"/>
            <c:bubble3D val="0"/>
            <c:spPr>
              <a:solidFill>
                <a:srgbClr val="AABAD7"/>
              </a:solidFill>
            </c:spPr>
            <c:extLst>
              <c:ext xmlns:c16="http://schemas.microsoft.com/office/drawing/2014/chart" uri="{C3380CC4-5D6E-409C-BE32-E72D297353CC}">
                <c16:uniqueId val="{0000000F-C533-49C1-9C96-A8BA00500AF1}"/>
              </c:ext>
            </c:extLst>
          </c:dPt>
          <c:dPt>
            <c:idx val="8"/>
            <c:bubble3D val="0"/>
            <c:spPr>
              <a:solidFill>
                <a:srgbClr val="F79646"/>
              </a:solidFill>
            </c:spPr>
            <c:extLst>
              <c:ext xmlns:c16="http://schemas.microsoft.com/office/drawing/2014/chart" uri="{C3380CC4-5D6E-409C-BE32-E72D297353CC}">
                <c16:uniqueId val="{00000011-C533-49C1-9C96-A8BA00500AF1}"/>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Grafer!$C$911:$C$920</c:f>
              <c:numCache>
                <c:formatCode>#,##0</c:formatCode>
                <c:ptCount val="10"/>
                <c:pt idx="0" formatCode="General">
                  <c:v>2018</c:v>
                </c:pt>
                <c:pt idx="1">
                  <c:v>16.304788500000004</c:v>
                </c:pt>
                <c:pt idx="2">
                  <c:v>0</c:v>
                </c:pt>
                <c:pt idx="3">
                  <c:v>19.8</c:v>
                </c:pt>
                <c:pt idx="4">
                  <c:v>4.2750000000000004</c:v>
                </c:pt>
                <c:pt idx="5">
                  <c:v>19.168499999999998</c:v>
                </c:pt>
                <c:pt idx="6">
                  <c:v>0.79299999999999993</c:v>
                </c:pt>
                <c:pt idx="7">
                  <c:v>5.8822222222222216</c:v>
                </c:pt>
                <c:pt idx="8">
                  <c:v>1.65</c:v>
                </c:pt>
                <c:pt idx="9">
                  <c:v>0.91</c:v>
                </c:pt>
              </c:numCache>
            </c:numRef>
          </c:val>
          <c:extLst>
            <c:ext xmlns:c16="http://schemas.microsoft.com/office/drawing/2014/chart" uri="{C3380CC4-5D6E-409C-BE32-E72D297353CC}">
              <c16:uniqueId val="{00000012-C533-49C1-9C96-A8BA00500AF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71892305555555891"/>
          <c:h val="0.85396039603960394"/>
        </c:manualLayout>
      </c:layout>
      <c:barChart>
        <c:barDir val="col"/>
        <c:grouping val="stacked"/>
        <c:varyColors val="0"/>
        <c:ser>
          <c:idx val="0"/>
          <c:order val="0"/>
          <c:tx>
            <c:strRef>
              <c:f>Grafer!$B$450</c:f>
              <c:strCache>
                <c:ptCount val="1"/>
                <c:pt idx="0">
                  <c:v>Benzinbiler</c:v>
                </c:pt>
              </c:strCache>
            </c:strRef>
          </c:tx>
          <c:invertIfNegative val="0"/>
          <c:cat>
            <c:strRef>
              <c:f>Grafer!$C$449:$H$449</c:f>
              <c:strCache>
                <c:ptCount val="3"/>
                <c:pt idx="0">
                  <c:v>2018</c:v>
                </c:pt>
                <c:pt idx="1">
                  <c:v>BAU2030</c:v>
                </c:pt>
                <c:pt idx="2">
                  <c:v>BAU2050</c:v>
                </c:pt>
              </c:strCache>
            </c:strRef>
          </c:cat>
          <c:val>
            <c:numRef>
              <c:f>Grafer!$C$450:$H$450</c:f>
              <c:numCache>
                <c:formatCode>#,##0</c:formatCode>
                <c:ptCount val="6"/>
                <c:pt idx="0">
                  <c:v>18.62</c:v>
                </c:pt>
                <c:pt idx="1">
                  <c:v>17.8752</c:v>
                </c:pt>
                <c:pt idx="2">
                  <c:v>4.0219199999999997</c:v>
                </c:pt>
              </c:numCache>
            </c:numRef>
          </c:val>
          <c:extLst>
            <c:ext xmlns:c16="http://schemas.microsoft.com/office/drawing/2014/chart" uri="{C3380CC4-5D6E-409C-BE32-E72D297353CC}">
              <c16:uniqueId val="{00000000-A5AE-4AC8-A7FC-C4D6E38E0DBE}"/>
            </c:ext>
          </c:extLst>
        </c:ser>
        <c:ser>
          <c:idx val="1"/>
          <c:order val="1"/>
          <c:tx>
            <c:strRef>
              <c:f>Grafer!$B$451</c:f>
              <c:strCache>
                <c:ptCount val="1"/>
                <c:pt idx="0">
                  <c:v>Dieselbiler</c:v>
                </c:pt>
              </c:strCache>
            </c:strRef>
          </c:tx>
          <c:invertIfNegative val="0"/>
          <c:cat>
            <c:strRef>
              <c:f>Grafer!$C$449:$H$449</c:f>
              <c:strCache>
                <c:ptCount val="3"/>
                <c:pt idx="0">
                  <c:v>2018</c:v>
                </c:pt>
                <c:pt idx="1">
                  <c:v>BAU2030</c:v>
                </c:pt>
                <c:pt idx="2">
                  <c:v>BAU2050</c:v>
                </c:pt>
              </c:strCache>
            </c:strRef>
          </c:cat>
          <c:val>
            <c:numRef>
              <c:f>Grafer!$C$451:$H$451</c:f>
              <c:numCache>
                <c:formatCode>#,##0</c:formatCode>
                <c:ptCount val="6"/>
                <c:pt idx="0">
                  <c:v>14.66</c:v>
                </c:pt>
                <c:pt idx="1">
                  <c:v>11.596060000000001</c:v>
                </c:pt>
                <c:pt idx="2">
                  <c:v>2.9026799999999993</c:v>
                </c:pt>
              </c:numCache>
            </c:numRef>
          </c:val>
          <c:extLst>
            <c:ext xmlns:c16="http://schemas.microsoft.com/office/drawing/2014/chart" uri="{C3380CC4-5D6E-409C-BE32-E72D297353CC}">
              <c16:uniqueId val="{00000001-A5AE-4AC8-A7FC-C4D6E38E0DBE}"/>
            </c:ext>
          </c:extLst>
        </c:ser>
        <c:ser>
          <c:idx val="3"/>
          <c:order val="2"/>
          <c:tx>
            <c:strRef>
              <c:f>Grafer!$B$452</c:f>
              <c:strCache>
                <c:ptCount val="1"/>
                <c:pt idx="0">
                  <c:v>Varebiler</c:v>
                </c:pt>
              </c:strCache>
            </c:strRef>
          </c:tx>
          <c:invertIfNegative val="0"/>
          <c:cat>
            <c:strRef>
              <c:f>Grafer!$C$449:$H$449</c:f>
              <c:strCache>
                <c:ptCount val="3"/>
                <c:pt idx="0">
                  <c:v>2018</c:v>
                </c:pt>
                <c:pt idx="1">
                  <c:v>BAU2030</c:v>
                </c:pt>
                <c:pt idx="2">
                  <c:v>BAU2050</c:v>
                </c:pt>
              </c:strCache>
            </c:strRef>
          </c:cat>
          <c:val>
            <c:numRef>
              <c:f>Grafer!$C$452:$H$452</c:f>
              <c:numCache>
                <c:formatCode>#,##0</c:formatCode>
                <c:ptCount val="6"/>
                <c:pt idx="0">
                  <c:v>14.070000000000002</c:v>
                </c:pt>
                <c:pt idx="1">
                  <c:v>13.706994</c:v>
                </c:pt>
                <c:pt idx="2">
                  <c:v>13.706994</c:v>
                </c:pt>
              </c:numCache>
            </c:numRef>
          </c:val>
          <c:extLst>
            <c:ext xmlns:c16="http://schemas.microsoft.com/office/drawing/2014/chart" uri="{C3380CC4-5D6E-409C-BE32-E72D297353CC}">
              <c16:uniqueId val="{00000002-A5AE-4AC8-A7FC-C4D6E38E0DBE}"/>
            </c:ext>
          </c:extLst>
        </c:ser>
        <c:ser>
          <c:idx val="2"/>
          <c:order val="3"/>
          <c:tx>
            <c:strRef>
              <c:f>Grafer!$B$453</c:f>
              <c:strCache>
                <c:ptCount val="1"/>
                <c:pt idx="0">
                  <c:v>Busser</c:v>
                </c:pt>
              </c:strCache>
            </c:strRef>
          </c:tx>
          <c:invertIfNegative val="0"/>
          <c:cat>
            <c:strRef>
              <c:f>Grafer!$C$449:$H$449</c:f>
              <c:strCache>
                <c:ptCount val="3"/>
                <c:pt idx="0">
                  <c:v>2018</c:v>
                </c:pt>
                <c:pt idx="1">
                  <c:v>BAU2030</c:v>
                </c:pt>
                <c:pt idx="2">
                  <c:v>BAU2050</c:v>
                </c:pt>
              </c:strCache>
            </c:strRef>
          </c:cat>
          <c:val>
            <c:numRef>
              <c:f>Grafer!$C$453:$H$453</c:f>
              <c:numCache>
                <c:formatCode>#,##0</c:formatCode>
                <c:ptCount val="6"/>
                <c:pt idx="0">
                  <c:v>1.2700000000000002</c:v>
                </c:pt>
                <c:pt idx="1">
                  <c:v>1.0863579999999999</c:v>
                </c:pt>
                <c:pt idx="2">
                  <c:v>1.0863579999999999</c:v>
                </c:pt>
              </c:numCache>
            </c:numRef>
          </c:val>
          <c:extLst>
            <c:ext xmlns:c16="http://schemas.microsoft.com/office/drawing/2014/chart" uri="{C3380CC4-5D6E-409C-BE32-E72D297353CC}">
              <c16:uniqueId val="{00000003-A5AE-4AC8-A7FC-C4D6E38E0DBE}"/>
            </c:ext>
          </c:extLst>
        </c:ser>
        <c:ser>
          <c:idx val="4"/>
          <c:order val="4"/>
          <c:tx>
            <c:strRef>
              <c:f>Grafer!$B$454</c:f>
              <c:strCache>
                <c:ptCount val="1"/>
                <c:pt idx="0">
                  <c:v>Lastbiler m.m.</c:v>
                </c:pt>
              </c:strCache>
            </c:strRef>
          </c:tx>
          <c:invertIfNegative val="0"/>
          <c:cat>
            <c:strRef>
              <c:f>Grafer!$C$449:$H$449</c:f>
              <c:strCache>
                <c:ptCount val="3"/>
                <c:pt idx="0">
                  <c:v>2018</c:v>
                </c:pt>
                <c:pt idx="1">
                  <c:v>BAU2030</c:v>
                </c:pt>
                <c:pt idx="2">
                  <c:v>BAU2050</c:v>
                </c:pt>
              </c:strCache>
            </c:strRef>
          </c:cat>
          <c:val>
            <c:numRef>
              <c:f>Grafer!$C$454:$H$454</c:f>
              <c:numCache>
                <c:formatCode>#,##0</c:formatCode>
                <c:ptCount val="6"/>
                <c:pt idx="0">
                  <c:v>19.63</c:v>
                </c:pt>
                <c:pt idx="1">
                  <c:v>18.870319000000002</c:v>
                </c:pt>
                <c:pt idx="2">
                  <c:v>18.870319000000002</c:v>
                </c:pt>
              </c:numCache>
            </c:numRef>
          </c:val>
          <c:extLst>
            <c:ext xmlns:c16="http://schemas.microsoft.com/office/drawing/2014/chart" uri="{C3380CC4-5D6E-409C-BE32-E72D297353CC}">
              <c16:uniqueId val="{00000004-A5AE-4AC8-A7FC-C4D6E38E0DBE}"/>
            </c:ext>
          </c:extLst>
        </c:ser>
        <c:ser>
          <c:idx val="5"/>
          <c:order val="5"/>
          <c:tx>
            <c:strRef>
              <c:f>Grafer!$B$455</c:f>
              <c:strCache>
                <c:ptCount val="1"/>
                <c:pt idx="0">
                  <c:v>Traktorer</c:v>
                </c:pt>
              </c:strCache>
            </c:strRef>
          </c:tx>
          <c:invertIfNegative val="0"/>
          <c:cat>
            <c:strRef>
              <c:f>Grafer!$C$449:$H$449</c:f>
              <c:strCache>
                <c:ptCount val="3"/>
                <c:pt idx="0">
                  <c:v>2018</c:v>
                </c:pt>
                <c:pt idx="1">
                  <c:v>BAU2030</c:v>
                </c:pt>
                <c:pt idx="2">
                  <c:v>BAU2050</c:v>
                </c:pt>
              </c:strCache>
            </c:strRef>
          </c:cat>
          <c:val>
            <c:numRef>
              <c:f>Grafer!$C$455:$H$455</c:f>
              <c:numCache>
                <c:formatCode>#,##0</c:formatCode>
                <c:ptCount val="6"/>
                <c:pt idx="0">
                  <c:v>7.43</c:v>
                </c:pt>
                <c:pt idx="1">
                  <c:v>7.43</c:v>
                </c:pt>
                <c:pt idx="2">
                  <c:v>7.43</c:v>
                </c:pt>
              </c:numCache>
            </c:numRef>
          </c:val>
          <c:extLst>
            <c:ext xmlns:c16="http://schemas.microsoft.com/office/drawing/2014/chart" uri="{C3380CC4-5D6E-409C-BE32-E72D297353CC}">
              <c16:uniqueId val="{00000005-A5AE-4AC8-A7FC-C4D6E38E0DBE}"/>
            </c:ext>
          </c:extLst>
        </c:ser>
        <c:ser>
          <c:idx val="6"/>
          <c:order val="6"/>
          <c:tx>
            <c:strRef>
              <c:f>Grafer!$B$456</c:f>
              <c:strCache>
                <c:ptCount val="1"/>
                <c:pt idx="0">
                  <c:v>Tog</c:v>
                </c:pt>
              </c:strCache>
            </c:strRef>
          </c:tx>
          <c:invertIfNegative val="0"/>
          <c:cat>
            <c:strRef>
              <c:f>Grafer!$C$449:$H$449</c:f>
              <c:strCache>
                <c:ptCount val="3"/>
                <c:pt idx="0">
                  <c:v>2018</c:v>
                </c:pt>
                <c:pt idx="1">
                  <c:v>BAU2030</c:v>
                </c:pt>
                <c:pt idx="2">
                  <c:v>BAU2050</c:v>
                </c:pt>
              </c:strCache>
            </c:strRef>
          </c:cat>
          <c:val>
            <c:numRef>
              <c:f>Grafer!$C$456:$H$456</c:f>
              <c:numCache>
                <c:formatCode>#,##0</c:formatCode>
                <c:ptCount val="6"/>
                <c:pt idx="0">
                  <c:v>0.95</c:v>
                </c:pt>
                <c:pt idx="1">
                  <c:v>0.28495823799999997</c:v>
                </c:pt>
                <c:pt idx="2">
                  <c:v>0</c:v>
                </c:pt>
              </c:numCache>
            </c:numRef>
          </c:val>
          <c:extLst>
            <c:ext xmlns:c16="http://schemas.microsoft.com/office/drawing/2014/chart" uri="{C3380CC4-5D6E-409C-BE32-E72D297353CC}">
              <c16:uniqueId val="{00000006-A5AE-4AC8-A7FC-C4D6E38E0DBE}"/>
            </c:ext>
          </c:extLst>
        </c:ser>
        <c:ser>
          <c:idx val="7"/>
          <c:order val="7"/>
          <c:tx>
            <c:strRef>
              <c:f>Grafer!$B$457</c:f>
              <c:strCache>
                <c:ptCount val="1"/>
                <c:pt idx="0">
                  <c:v>Fly</c:v>
                </c:pt>
              </c:strCache>
            </c:strRef>
          </c:tx>
          <c:invertIfNegative val="0"/>
          <c:cat>
            <c:strRef>
              <c:f>Grafer!$C$449:$H$449</c:f>
              <c:strCache>
                <c:ptCount val="3"/>
                <c:pt idx="0">
                  <c:v>2018</c:v>
                </c:pt>
                <c:pt idx="1">
                  <c:v>BAU2030</c:v>
                </c:pt>
                <c:pt idx="2">
                  <c:v>BAU2050</c:v>
                </c:pt>
              </c:strCache>
            </c:strRef>
          </c:cat>
          <c:val>
            <c:numRef>
              <c:f>Grafer!$C$457:$H$457</c:f>
              <c:numCache>
                <c:formatCode>#,##0</c:formatCode>
                <c:ptCount val="6"/>
                <c:pt idx="0">
                  <c:v>13.995000000000001</c:v>
                </c:pt>
                <c:pt idx="1">
                  <c:v>16.327966500000002</c:v>
                </c:pt>
                <c:pt idx="2">
                  <c:v>16.327966500000002</c:v>
                </c:pt>
              </c:numCache>
            </c:numRef>
          </c:val>
          <c:extLst>
            <c:ext xmlns:c16="http://schemas.microsoft.com/office/drawing/2014/chart" uri="{C3380CC4-5D6E-409C-BE32-E72D297353CC}">
              <c16:uniqueId val="{00000007-A5AE-4AC8-A7FC-C4D6E38E0DBE}"/>
            </c:ext>
          </c:extLst>
        </c:ser>
        <c:ser>
          <c:idx val="8"/>
          <c:order val="8"/>
          <c:tx>
            <c:strRef>
              <c:f>Grafer!$B$458</c:f>
              <c:strCache>
                <c:ptCount val="1"/>
                <c:pt idx="0">
                  <c:v>Skibe</c:v>
                </c:pt>
              </c:strCache>
            </c:strRef>
          </c:tx>
          <c:invertIfNegative val="0"/>
          <c:cat>
            <c:strRef>
              <c:f>Grafer!$C$449:$H$449</c:f>
              <c:strCache>
                <c:ptCount val="3"/>
                <c:pt idx="0">
                  <c:v>2018</c:v>
                </c:pt>
                <c:pt idx="1">
                  <c:v>BAU2030</c:v>
                </c:pt>
                <c:pt idx="2">
                  <c:v>BAU2050</c:v>
                </c:pt>
              </c:strCache>
            </c:strRef>
          </c:cat>
          <c:val>
            <c:numRef>
              <c:f>Grafer!$C$458:$H$458</c:f>
              <c:numCache>
                <c:formatCode>#,##0</c:formatCode>
                <c:ptCount val="6"/>
                <c:pt idx="0">
                  <c:v>2.0009999999999999</c:v>
                </c:pt>
                <c:pt idx="1">
                  <c:v>1.9765878000000001</c:v>
                </c:pt>
                <c:pt idx="2">
                  <c:v>1.9765878000000001</c:v>
                </c:pt>
              </c:numCache>
            </c:numRef>
          </c:val>
          <c:extLst>
            <c:ext xmlns:c16="http://schemas.microsoft.com/office/drawing/2014/chart" uri="{C3380CC4-5D6E-409C-BE32-E72D297353CC}">
              <c16:uniqueId val="{00000008-A5AE-4AC8-A7FC-C4D6E38E0DBE}"/>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992"/>
        <c:crosses val="autoZero"/>
        <c:crossBetween val="between"/>
      </c:valAx>
    </c:plotArea>
    <c:legend>
      <c:legendPos val="r"/>
      <c:layout>
        <c:manualLayout>
          <c:xMode val="edge"/>
          <c:yMode val="edge"/>
          <c:x val="0.84950138888888893"/>
          <c:y val="0.21836563898338901"/>
          <c:w val="0.13991527777777873"/>
          <c:h val="0.56326872203322198"/>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Grafer!$C$60:$E$60</c:f>
              <c:strCache>
                <c:ptCount val="3"/>
                <c:pt idx="0">
                  <c:v>2018</c:v>
                </c:pt>
                <c:pt idx="1">
                  <c:v>BAU2030</c:v>
                </c:pt>
                <c:pt idx="2">
                  <c:v>BAU2050</c:v>
                </c:pt>
              </c:strCache>
            </c:strRef>
          </c:cat>
          <c:val>
            <c:numRef>
              <c:f>Grafer!$C$62:$E$62</c:f>
              <c:numCache>
                <c:formatCode>_(* #,##0.0_);_(* \(#,##0.0\);_(* "-"??_);_(@_)</c:formatCode>
                <c:ptCount val="3"/>
                <c:pt idx="0">
                  <c:v>37.851648833952154</c:v>
                </c:pt>
                <c:pt idx="1">
                  <c:v>42.089616700580237</c:v>
                </c:pt>
                <c:pt idx="2">
                  <c:v>45.42681395030241</c:v>
                </c:pt>
              </c:numCache>
            </c:numRef>
          </c:val>
          <c:extLst>
            <c:ext xmlns:c16="http://schemas.microsoft.com/office/drawing/2014/chart" uri="{C3380CC4-5D6E-409C-BE32-E72D297353CC}">
              <c16:uniqueId val="{00000000-C5FA-4C31-AAB4-E0F232EDCAEB}"/>
            </c:ext>
          </c:extLst>
        </c:ser>
        <c:dLbls>
          <c:showLegendKey val="0"/>
          <c:showVal val="1"/>
          <c:showCatName val="0"/>
          <c:showSerName val="0"/>
          <c:showPercent val="0"/>
          <c:showBubbleSize val="0"/>
        </c:dLbls>
        <c:gapWidth val="15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2728"/>
        <c:crosses val="autoZero"/>
        <c:auto val="1"/>
        <c:lblAlgn val="ctr"/>
        <c:lblOffset val="100"/>
        <c:noMultiLvlLbl val="0"/>
      </c:catAx>
      <c:valAx>
        <c:axId val="58003272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Grafer!$B$1019</c:f>
              <c:strCache>
                <c:ptCount val="1"/>
                <c:pt idx="0">
                  <c:v>Elforbrug</c:v>
                </c:pt>
              </c:strCache>
            </c:strRef>
          </c:tx>
          <c:invertIfNegative val="0"/>
          <c:cat>
            <c:strRef>
              <c:f>Grafer!$C$1018:$D$1018</c:f>
              <c:strCache>
                <c:ptCount val="2"/>
                <c:pt idx="0">
                  <c:v>Produktion</c:v>
                </c:pt>
                <c:pt idx="1">
                  <c:v>Forbrug</c:v>
                </c:pt>
              </c:strCache>
            </c:strRef>
          </c:cat>
          <c:val>
            <c:numRef>
              <c:f>Grafer!$C$1019:$D$1019</c:f>
              <c:numCache>
                <c:formatCode>#,##0</c:formatCode>
                <c:ptCount val="2"/>
                <c:pt idx="1">
                  <c:v>57.772137485894234</c:v>
                </c:pt>
              </c:numCache>
            </c:numRef>
          </c:val>
          <c:extLst>
            <c:ext xmlns:c16="http://schemas.microsoft.com/office/drawing/2014/chart" uri="{C3380CC4-5D6E-409C-BE32-E72D297353CC}">
              <c16:uniqueId val="{00000000-4830-46F3-99F4-2907E1E749F0}"/>
            </c:ext>
          </c:extLst>
        </c:ser>
        <c:ser>
          <c:idx val="2"/>
          <c:order val="1"/>
          <c:tx>
            <c:strRef>
              <c:f>Grafer!$B$1020</c:f>
              <c:strCache>
                <c:ptCount val="1"/>
                <c:pt idx="0">
                  <c:v>Nettab</c:v>
                </c:pt>
              </c:strCache>
            </c:strRef>
          </c:tx>
          <c:invertIfNegative val="0"/>
          <c:cat>
            <c:strRef>
              <c:f>Grafer!$C$1018:$D$1018</c:f>
              <c:strCache>
                <c:ptCount val="2"/>
                <c:pt idx="0">
                  <c:v>Produktion</c:v>
                </c:pt>
                <c:pt idx="1">
                  <c:v>Forbrug</c:v>
                </c:pt>
              </c:strCache>
            </c:strRef>
          </c:cat>
          <c:val>
            <c:numRef>
              <c:f>Grafer!$C$1020:$D$1020</c:f>
              <c:numCache>
                <c:formatCode>#,##0</c:formatCode>
                <c:ptCount val="2"/>
                <c:pt idx="1">
                  <c:v>5.1262157921615525</c:v>
                </c:pt>
              </c:numCache>
            </c:numRef>
          </c:val>
          <c:extLst>
            <c:ext xmlns:c16="http://schemas.microsoft.com/office/drawing/2014/chart" uri="{C3380CC4-5D6E-409C-BE32-E72D297353CC}">
              <c16:uniqueId val="{00000001-4830-46F3-99F4-2907E1E749F0}"/>
            </c:ext>
          </c:extLst>
        </c:ser>
        <c:ser>
          <c:idx val="3"/>
          <c:order val="2"/>
          <c:tx>
            <c:strRef>
              <c:f>Grafer!$B$1021</c:f>
              <c:strCache>
                <c:ptCount val="1"/>
                <c:pt idx="0">
                  <c:v>Elforbrug til fjernvarmeprod.</c:v>
                </c:pt>
              </c:strCache>
            </c:strRef>
          </c:tx>
          <c:invertIfNegative val="0"/>
          <c:cat>
            <c:strRef>
              <c:f>Grafer!$C$1018:$D$1018</c:f>
              <c:strCache>
                <c:ptCount val="2"/>
                <c:pt idx="0">
                  <c:v>Produktion</c:v>
                </c:pt>
                <c:pt idx="1">
                  <c:v>Forbrug</c:v>
                </c:pt>
              </c:strCache>
            </c:strRef>
          </c:cat>
          <c:val>
            <c:numRef>
              <c:f>Grafer!$C$1021:$D$1021</c:f>
              <c:numCache>
                <c:formatCode>#,##0</c:formatCode>
                <c:ptCount val="2"/>
                <c:pt idx="1">
                  <c:v>0</c:v>
                </c:pt>
              </c:numCache>
            </c:numRef>
          </c:val>
          <c:extLst>
            <c:ext xmlns:c16="http://schemas.microsoft.com/office/drawing/2014/chart" uri="{C3380CC4-5D6E-409C-BE32-E72D297353CC}">
              <c16:uniqueId val="{00000002-4830-46F3-99F4-2907E1E749F0}"/>
            </c:ext>
          </c:extLst>
        </c:ser>
        <c:ser>
          <c:idx val="5"/>
          <c:order val="3"/>
          <c:tx>
            <c:strRef>
              <c:f>Grafer!$B$1023</c:f>
              <c:strCache>
                <c:ptCount val="1"/>
                <c:pt idx="0">
                  <c:v>Kraftvarme</c:v>
                </c:pt>
              </c:strCache>
            </c:strRef>
          </c:tx>
          <c:invertIfNegative val="0"/>
          <c:cat>
            <c:strRef>
              <c:f>Grafer!$C$1018:$D$1018</c:f>
              <c:strCache>
                <c:ptCount val="2"/>
                <c:pt idx="0">
                  <c:v>Produktion</c:v>
                </c:pt>
                <c:pt idx="1">
                  <c:v>Forbrug</c:v>
                </c:pt>
              </c:strCache>
            </c:strRef>
          </c:cat>
          <c:val>
            <c:numRef>
              <c:f>Grafer!$C$1023:$D$1023</c:f>
              <c:numCache>
                <c:formatCode>#,##0</c:formatCode>
                <c:ptCount val="2"/>
                <c:pt idx="0">
                  <c:v>0</c:v>
                </c:pt>
              </c:numCache>
            </c:numRef>
          </c:val>
          <c:extLst>
            <c:ext xmlns:c16="http://schemas.microsoft.com/office/drawing/2014/chart" uri="{C3380CC4-5D6E-409C-BE32-E72D297353CC}">
              <c16:uniqueId val="{00000003-4830-46F3-99F4-2907E1E749F0}"/>
            </c:ext>
          </c:extLst>
        </c:ser>
        <c:ser>
          <c:idx val="1"/>
          <c:order val="4"/>
          <c:tx>
            <c:strRef>
              <c:f>Grafer!$B$1024</c:f>
              <c:strCache>
                <c:ptCount val="1"/>
                <c:pt idx="0">
                  <c:v>Vindkraft, land</c:v>
                </c:pt>
              </c:strCache>
            </c:strRef>
          </c:tx>
          <c:invertIfNegative val="0"/>
          <c:cat>
            <c:strRef>
              <c:f>Grafer!$C$1018:$D$1018</c:f>
              <c:strCache>
                <c:ptCount val="2"/>
                <c:pt idx="0">
                  <c:v>Produktion</c:v>
                </c:pt>
                <c:pt idx="1">
                  <c:v>Forbrug</c:v>
                </c:pt>
              </c:strCache>
            </c:strRef>
          </c:cat>
          <c:val>
            <c:numRef>
              <c:f>Grafer!$C$1024:$D$1024</c:f>
              <c:numCache>
                <c:formatCode>#,##0</c:formatCode>
                <c:ptCount val="2"/>
                <c:pt idx="0">
                  <c:v>-6.9644848000000037E-2</c:v>
                </c:pt>
              </c:numCache>
            </c:numRef>
          </c:val>
          <c:extLst>
            <c:ext xmlns:c16="http://schemas.microsoft.com/office/drawing/2014/chart" uri="{C3380CC4-5D6E-409C-BE32-E72D297353CC}">
              <c16:uniqueId val="{00000004-4830-46F3-99F4-2907E1E749F0}"/>
            </c:ext>
          </c:extLst>
        </c:ser>
        <c:ser>
          <c:idx val="4"/>
          <c:order val="5"/>
          <c:tx>
            <c:strRef>
              <c:f>Grafer!$B$1025</c:f>
              <c:strCache>
                <c:ptCount val="1"/>
                <c:pt idx="0">
                  <c:v>Vindkraft, kystnære</c:v>
                </c:pt>
              </c:strCache>
            </c:strRef>
          </c:tx>
          <c:invertIfNegative val="0"/>
          <c:cat>
            <c:strRef>
              <c:f>Grafer!$C$1018:$D$1018</c:f>
              <c:strCache>
                <c:ptCount val="2"/>
                <c:pt idx="0">
                  <c:v>Produktion</c:v>
                </c:pt>
                <c:pt idx="1">
                  <c:v>Forbrug</c:v>
                </c:pt>
              </c:strCache>
            </c:strRef>
          </c:cat>
          <c:val>
            <c:numRef>
              <c:f>Grafer!$C$1025:$D$1025</c:f>
              <c:numCache>
                <c:formatCode>#,##0</c:formatCode>
                <c:ptCount val="2"/>
                <c:pt idx="0">
                  <c:v>0</c:v>
                </c:pt>
              </c:numCache>
            </c:numRef>
          </c:val>
          <c:extLst>
            <c:ext xmlns:c16="http://schemas.microsoft.com/office/drawing/2014/chart" uri="{C3380CC4-5D6E-409C-BE32-E72D297353CC}">
              <c16:uniqueId val="{00000005-4830-46F3-99F4-2907E1E749F0}"/>
            </c:ext>
          </c:extLst>
        </c:ser>
        <c:ser>
          <c:idx val="6"/>
          <c:order val="6"/>
          <c:tx>
            <c:strRef>
              <c:f>Grafer!$B$1026</c:f>
              <c:strCache>
                <c:ptCount val="1"/>
                <c:pt idx="0">
                  <c:v>Solcelleanlæg, vandkraft mv.</c:v>
                </c:pt>
              </c:strCache>
            </c:strRef>
          </c:tx>
          <c:invertIfNegative val="0"/>
          <c:cat>
            <c:strRef>
              <c:f>Grafer!$C$1018:$D$1018</c:f>
              <c:strCache>
                <c:ptCount val="2"/>
                <c:pt idx="0">
                  <c:v>Produktion</c:v>
                </c:pt>
                <c:pt idx="1">
                  <c:v>Forbrug</c:v>
                </c:pt>
              </c:strCache>
            </c:strRef>
          </c:cat>
          <c:val>
            <c:numRef>
              <c:f>Grafer!$C$1026:$D$1026</c:f>
              <c:numCache>
                <c:formatCode>#,##0</c:formatCode>
                <c:ptCount val="2"/>
                <c:pt idx="0">
                  <c:v>18.487000000000002</c:v>
                </c:pt>
              </c:numCache>
            </c:numRef>
          </c:val>
          <c:extLst>
            <c:ext xmlns:c16="http://schemas.microsoft.com/office/drawing/2014/chart" uri="{C3380CC4-5D6E-409C-BE32-E72D297353CC}">
              <c16:uniqueId val="{00000006-4830-46F3-99F4-2907E1E749F0}"/>
            </c:ext>
          </c:extLst>
        </c:ser>
        <c:ser>
          <c:idx val="7"/>
          <c:order val="7"/>
          <c:tx>
            <c:strRef>
              <c:f>Grafer!$B$1027</c:f>
              <c:strCache>
                <c:ptCount val="1"/>
                <c:pt idx="0">
                  <c:v>El-import</c:v>
                </c:pt>
              </c:strCache>
            </c:strRef>
          </c:tx>
          <c:spPr>
            <a:solidFill>
              <a:schemeClr val="accent3">
                <a:lumMod val="75000"/>
              </a:schemeClr>
            </a:solidFill>
          </c:spPr>
          <c:invertIfNegative val="0"/>
          <c:cat>
            <c:strRef>
              <c:f>Grafer!$C$1018:$D$1018</c:f>
              <c:strCache>
                <c:ptCount val="2"/>
                <c:pt idx="0">
                  <c:v>Produktion</c:v>
                </c:pt>
                <c:pt idx="1">
                  <c:v>Forbrug</c:v>
                </c:pt>
              </c:strCache>
            </c:strRef>
          </c:cat>
          <c:val>
            <c:numRef>
              <c:f>Grafer!$C$1027:$D$1027</c:f>
              <c:numCache>
                <c:formatCode>#,##0</c:formatCode>
                <c:ptCount val="2"/>
                <c:pt idx="0">
                  <c:v>44.480998126055781</c:v>
                </c:pt>
              </c:numCache>
            </c:numRef>
          </c:val>
          <c:extLst>
            <c:ext xmlns:c16="http://schemas.microsoft.com/office/drawing/2014/chart" uri="{C3380CC4-5D6E-409C-BE32-E72D297353CC}">
              <c16:uniqueId val="{00000007-4830-46F3-99F4-2907E1E749F0}"/>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Grafer!$B$1063</c:f>
              <c:strCache>
                <c:ptCount val="1"/>
                <c:pt idx="0">
                  <c:v>Elforbrug</c:v>
                </c:pt>
              </c:strCache>
            </c:strRef>
          </c:tx>
          <c:invertIfNegative val="0"/>
          <c:cat>
            <c:strRef>
              <c:f>Grafer!$C$1062:$D$1062</c:f>
              <c:strCache>
                <c:ptCount val="2"/>
                <c:pt idx="0">
                  <c:v>Produktion</c:v>
                </c:pt>
                <c:pt idx="1">
                  <c:v>Forbrug</c:v>
                </c:pt>
              </c:strCache>
            </c:strRef>
          </c:cat>
          <c:val>
            <c:numRef>
              <c:f>Grafer!$C$1063:$D$1063</c:f>
              <c:numCache>
                <c:formatCode>#,##0</c:formatCode>
                <c:ptCount val="2"/>
                <c:pt idx="1">
                  <c:v>57.772137485894234</c:v>
                </c:pt>
              </c:numCache>
            </c:numRef>
          </c:val>
          <c:extLst>
            <c:ext xmlns:c16="http://schemas.microsoft.com/office/drawing/2014/chart" uri="{C3380CC4-5D6E-409C-BE32-E72D297353CC}">
              <c16:uniqueId val="{00000000-119D-4156-8F79-85D3A91D08CD}"/>
            </c:ext>
          </c:extLst>
        </c:ser>
        <c:ser>
          <c:idx val="15"/>
          <c:order val="1"/>
          <c:tx>
            <c:strRef>
              <c:f>Grafer!$B$1064</c:f>
              <c:strCache>
                <c:ptCount val="1"/>
                <c:pt idx="0">
                  <c:v>Nettab</c:v>
                </c:pt>
              </c:strCache>
            </c:strRef>
          </c:tx>
          <c:spPr>
            <a:solidFill>
              <a:schemeClr val="accent3">
                <a:lumMod val="75000"/>
              </a:schemeClr>
            </a:solidFill>
          </c:spPr>
          <c:invertIfNegative val="0"/>
          <c:cat>
            <c:strRef>
              <c:f>Grafer!$C$1062:$D$1062</c:f>
              <c:strCache>
                <c:ptCount val="2"/>
                <c:pt idx="0">
                  <c:v>Produktion</c:v>
                </c:pt>
                <c:pt idx="1">
                  <c:v>Forbrug</c:v>
                </c:pt>
              </c:strCache>
            </c:strRef>
          </c:cat>
          <c:val>
            <c:numRef>
              <c:f>Grafer!$C$1064:$D$1064</c:f>
              <c:numCache>
                <c:formatCode>#,##0</c:formatCode>
                <c:ptCount val="2"/>
                <c:pt idx="1">
                  <c:v>5.1262157921615525</c:v>
                </c:pt>
              </c:numCache>
            </c:numRef>
          </c:val>
          <c:extLst>
            <c:ext xmlns:c16="http://schemas.microsoft.com/office/drawing/2014/chart" uri="{C3380CC4-5D6E-409C-BE32-E72D297353CC}">
              <c16:uniqueId val="{00000001-119D-4156-8F79-85D3A91D08CD}"/>
            </c:ext>
          </c:extLst>
        </c:ser>
        <c:ser>
          <c:idx val="3"/>
          <c:order val="2"/>
          <c:tx>
            <c:strRef>
              <c:f>Grafer!$B$1065</c:f>
              <c:strCache>
                <c:ptCount val="1"/>
                <c:pt idx="0">
                  <c:v>Elforbrug til fjernvarmeprod.</c:v>
                </c:pt>
              </c:strCache>
            </c:strRef>
          </c:tx>
          <c:invertIfNegative val="0"/>
          <c:cat>
            <c:strRef>
              <c:f>Grafer!$C$1062:$D$1062</c:f>
              <c:strCache>
                <c:ptCount val="2"/>
                <c:pt idx="0">
                  <c:v>Produktion</c:v>
                </c:pt>
                <c:pt idx="1">
                  <c:v>Forbrug</c:v>
                </c:pt>
              </c:strCache>
            </c:strRef>
          </c:cat>
          <c:val>
            <c:numRef>
              <c:f>Grafer!$C$1065:$D$1065</c:f>
              <c:numCache>
                <c:formatCode>#,##0</c:formatCode>
                <c:ptCount val="2"/>
                <c:pt idx="1">
                  <c:v>0</c:v>
                </c:pt>
              </c:numCache>
            </c:numRef>
          </c:val>
          <c:extLst>
            <c:ext xmlns:c16="http://schemas.microsoft.com/office/drawing/2014/chart" uri="{C3380CC4-5D6E-409C-BE32-E72D297353CC}">
              <c16:uniqueId val="{00000002-119D-4156-8F79-85D3A91D08CD}"/>
            </c:ext>
          </c:extLst>
        </c:ser>
        <c:ser>
          <c:idx val="5"/>
          <c:order val="3"/>
          <c:tx>
            <c:strRef>
              <c:f>Grafer!$B$1067</c:f>
              <c:strCache>
                <c:ptCount val="1"/>
                <c:pt idx="0">
                  <c:v>Brændselsolie/diesel</c:v>
                </c:pt>
              </c:strCache>
            </c:strRef>
          </c:tx>
          <c:invertIfNegative val="0"/>
          <c:cat>
            <c:strRef>
              <c:f>Grafer!$C$1062:$D$1062</c:f>
              <c:strCache>
                <c:ptCount val="2"/>
                <c:pt idx="0">
                  <c:v>Produktion</c:v>
                </c:pt>
                <c:pt idx="1">
                  <c:v>Forbrug</c:v>
                </c:pt>
              </c:strCache>
            </c:strRef>
          </c:cat>
          <c:val>
            <c:numRef>
              <c:f>Grafer!$C$1067:$D$1067</c:f>
              <c:numCache>
                <c:formatCode>#,##0</c:formatCode>
                <c:ptCount val="2"/>
                <c:pt idx="0">
                  <c:v>0</c:v>
                </c:pt>
              </c:numCache>
            </c:numRef>
          </c:val>
          <c:extLst>
            <c:ext xmlns:c16="http://schemas.microsoft.com/office/drawing/2014/chart" uri="{C3380CC4-5D6E-409C-BE32-E72D297353CC}">
              <c16:uniqueId val="{00000003-119D-4156-8F79-85D3A91D08CD}"/>
            </c:ext>
          </c:extLst>
        </c:ser>
        <c:ser>
          <c:idx val="2"/>
          <c:order val="4"/>
          <c:tx>
            <c:strRef>
              <c:f>Grafer!$B$1068</c:f>
              <c:strCache>
                <c:ptCount val="1"/>
                <c:pt idx="0">
                  <c:v>Kul</c:v>
                </c:pt>
              </c:strCache>
            </c:strRef>
          </c:tx>
          <c:invertIfNegative val="0"/>
          <c:cat>
            <c:strRef>
              <c:f>Grafer!$C$1062:$D$1062</c:f>
              <c:strCache>
                <c:ptCount val="2"/>
                <c:pt idx="0">
                  <c:v>Produktion</c:v>
                </c:pt>
                <c:pt idx="1">
                  <c:v>Forbrug</c:v>
                </c:pt>
              </c:strCache>
            </c:strRef>
          </c:cat>
          <c:val>
            <c:numRef>
              <c:f>Grafer!$C$1068:$D$1068</c:f>
              <c:numCache>
                <c:formatCode>#,##0</c:formatCode>
                <c:ptCount val="2"/>
                <c:pt idx="0">
                  <c:v>0</c:v>
                </c:pt>
              </c:numCache>
            </c:numRef>
          </c:val>
          <c:extLst>
            <c:ext xmlns:c16="http://schemas.microsoft.com/office/drawing/2014/chart" uri="{C3380CC4-5D6E-409C-BE32-E72D297353CC}">
              <c16:uniqueId val="{00000004-119D-4156-8F79-85D3A91D08CD}"/>
            </c:ext>
          </c:extLst>
        </c:ser>
        <c:ser>
          <c:idx val="4"/>
          <c:order val="5"/>
          <c:tx>
            <c:strRef>
              <c:f>Grafer!$B$1069</c:f>
              <c:strCache>
                <c:ptCount val="1"/>
                <c:pt idx="0">
                  <c:v>Fuelolie</c:v>
                </c:pt>
              </c:strCache>
            </c:strRef>
          </c:tx>
          <c:invertIfNegative val="0"/>
          <c:cat>
            <c:strRef>
              <c:f>Grafer!$C$1062:$D$1062</c:f>
              <c:strCache>
                <c:ptCount val="2"/>
                <c:pt idx="0">
                  <c:v>Produktion</c:v>
                </c:pt>
                <c:pt idx="1">
                  <c:v>Forbrug</c:v>
                </c:pt>
              </c:strCache>
            </c:strRef>
          </c:cat>
          <c:val>
            <c:numRef>
              <c:f>Grafer!$C$1069:$D$1069</c:f>
              <c:numCache>
                <c:formatCode>#,##0</c:formatCode>
                <c:ptCount val="2"/>
                <c:pt idx="0">
                  <c:v>0</c:v>
                </c:pt>
              </c:numCache>
            </c:numRef>
          </c:val>
          <c:extLst>
            <c:ext xmlns:c16="http://schemas.microsoft.com/office/drawing/2014/chart" uri="{C3380CC4-5D6E-409C-BE32-E72D297353CC}">
              <c16:uniqueId val="{00000005-119D-4156-8F79-85D3A91D08CD}"/>
            </c:ext>
          </c:extLst>
        </c:ser>
        <c:ser>
          <c:idx val="14"/>
          <c:order val="6"/>
          <c:tx>
            <c:strRef>
              <c:f>Grafer!$B$1070</c:f>
              <c:strCache>
                <c:ptCount val="1"/>
                <c:pt idx="0">
                  <c:v>Naturgas</c:v>
                </c:pt>
              </c:strCache>
            </c:strRef>
          </c:tx>
          <c:spPr>
            <a:solidFill>
              <a:schemeClr val="accent6">
                <a:lumMod val="75000"/>
              </a:schemeClr>
            </a:solidFill>
          </c:spPr>
          <c:invertIfNegative val="0"/>
          <c:cat>
            <c:strRef>
              <c:f>Grafer!$C$1062:$D$1062</c:f>
              <c:strCache>
                <c:ptCount val="2"/>
                <c:pt idx="0">
                  <c:v>Produktion</c:v>
                </c:pt>
                <c:pt idx="1">
                  <c:v>Forbrug</c:v>
                </c:pt>
              </c:strCache>
            </c:strRef>
          </c:cat>
          <c:val>
            <c:numRef>
              <c:f>Grafer!$C$1070:$D$1070</c:f>
              <c:numCache>
                <c:formatCode>#,##0</c:formatCode>
                <c:ptCount val="2"/>
                <c:pt idx="0">
                  <c:v>0</c:v>
                </c:pt>
              </c:numCache>
            </c:numRef>
          </c:val>
          <c:extLst>
            <c:ext xmlns:c16="http://schemas.microsoft.com/office/drawing/2014/chart" uri="{C3380CC4-5D6E-409C-BE32-E72D297353CC}">
              <c16:uniqueId val="{00000006-119D-4156-8F79-85D3A91D08CD}"/>
            </c:ext>
          </c:extLst>
        </c:ser>
        <c:ser>
          <c:idx val="13"/>
          <c:order val="7"/>
          <c:tx>
            <c:strRef>
              <c:f>Grafer!$B$1071</c:f>
              <c:strCache>
                <c:ptCount val="1"/>
                <c:pt idx="0">
                  <c:v>Affald, ikke bionedbrydeligt</c:v>
                </c:pt>
              </c:strCache>
            </c:strRef>
          </c:tx>
          <c:spPr>
            <a:solidFill>
              <a:schemeClr val="accent4">
                <a:lumMod val="75000"/>
              </a:schemeClr>
            </a:solidFill>
          </c:spPr>
          <c:invertIfNegative val="0"/>
          <c:cat>
            <c:strRef>
              <c:f>Grafer!$C$1062:$D$1062</c:f>
              <c:strCache>
                <c:ptCount val="2"/>
                <c:pt idx="0">
                  <c:v>Produktion</c:v>
                </c:pt>
                <c:pt idx="1">
                  <c:v>Forbrug</c:v>
                </c:pt>
              </c:strCache>
            </c:strRef>
          </c:cat>
          <c:val>
            <c:numRef>
              <c:f>Grafer!$C$1071:$D$1071</c:f>
              <c:numCache>
                <c:formatCode>#,##0</c:formatCode>
                <c:ptCount val="2"/>
                <c:pt idx="0">
                  <c:v>0</c:v>
                </c:pt>
              </c:numCache>
            </c:numRef>
          </c:val>
          <c:extLst>
            <c:ext xmlns:c16="http://schemas.microsoft.com/office/drawing/2014/chart" uri="{C3380CC4-5D6E-409C-BE32-E72D297353CC}">
              <c16:uniqueId val="{00000007-119D-4156-8F79-85D3A91D08CD}"/>
            </c:ext>
          </c:extLst>
        </c:ser>
        <c:ser>
          <c:idx val="7"/>
          <c:order val="8"/>
          <c:tx>
            <c:strRef>
              <c:f>Grafer!$B$1072</c:f>
              <c:strCache>
                <c:ptCount val="1"/>
                <c:pt idx="0">
                  <c:v>Affald, bionedbrydeligt</c:v>
                </c:pt>
              </c:strCache>
            </c:strRef>
          </c:tx>
          <c:invertIfNegative val="0"/>
          <c:cat>
            <c:strRef>
              <c:f>Grafer!$C$1062:$D$1062</c:f>
              <c:strCache>
                <c:ptCount val="2"/>
                <c:pt idx="0">
                  <c:v>Produktion</c:v>
                </c:pt>
                <c:pt idx="1">
                  <c:v>Forbrug</c:v>
                </c:pt>
              </c:strCache>
            </c:strRef>
          </c:cat>
          <c:val>
            <c:numRef>
              <c:f>Grafer!$C$1072:$D$1072</c:f>
              <c:numCache>
                <c:formatCode>#,##0</c:formatCode>
                <c:ptCount val="2"/>
                <c:pt idx="0">
                  <c:v>0</c:v>
                </c:pt>
              </c:numCache>
            </c:numRef>
          </c:val>
          <c:extLst>
            <c:ext xmlns:c16="http://schemas.microsoft.com/office/drawing/2014/chart" uri="{C3380CC4-5D6E-409C-BE32-E72D297353CC}">
              <c16:uniqueId val="{00000008-119D-4156-8F79-85D3A91D08CD}"/>
            </c:ext>
          </c:extLst>
        </c:ser>
        <c:ser>
          <c:idx val="8"/>
          <c:order val="9"/>
          <c:tx>
            <c:strRef>
              <c:f>Grafer!$B$1073</c:f>
              <c:strCache>
                <c:ptCount val="1"/>
                <c:pt idx="0">
                  <c:v>Biomasse</c:v>
                </c:pt>
              </c:strCache>
            </c:strRef>
          </c:tx>
          <c:invertIfNegative val="0"/>
          <c:cat>
            <c:strRef>
              <c:f>Grafer!$C$1062:$D$1062</c:f>
              <c:strCache>
                <c:ptCount val="2"/>
                <c:pt idx="0">
                  <c:v>Produktion</c:v>
                </c:pt>
                <c:pt idx="1">
                  <c:v>Forbrug</c:v>
                </c:pt>
              </c:strCache>
            </c:strRef>
          </c:cat>
          <c:val>
            <c:numRef>
              <c:f>Grafer!$C$1073:$D$1073</c:f>
              <c:numCache>
                <c:formatCode>#,##0</c:formatCode>
                <c:ptCount val="2"/>
                <c:pt idx="0">
                  <c:v>0</c:v>
                </c:pt>
              </c:numCache>
            </c:numRef>
          </c:val>
          <c:extLst>
            <c:ext xmlns:c16="http://schemas.microsoft.com/office/drawing/2014/chart" uri="{C3380CC4-5D6E-409C-BE32-E72D297353CC}">
              <c16:uniqueId val="{00000009-119D-4156-8F79-85D3A91D08CD}"/>
            </c:ext>
          </c:extLst>
        </c:ser>
        <c:ser>
          <c:idx val="9"/>
          <c:order val="10"/>
          <c:tx>
            <c:strRef>
              <c:f>Grafer!$B$1074</c:f>
              <c:strCache>
                <c:ptCount val="1"/>
                <c:pt idx="0">
                  <c:v>Vindenergi</c:v>
                </c:pt>
              </c:strCache>
            </c:strRef>
          </c:tx>
          <c:invertIfNegative val="0"/>
          <c:cat>
            <c:strRef>
              <c:f>Grafer!$C$1062:$D$1062</c:f>
              <c:strCache>
                <c:ptCount val="2"/>
                <c:pt idx="0">
                  <c:v>Produktion</c:v>
                </c:pt>
                <c:pt idx="1">
                  <c:v>Forbrug</c:v>
                </c:pt>
              </c:strCache>
            </c:strRef>
          </c:cat>
          <c:val>
            <c:numRef>
              <c:f>Grafer!$C$1074:$D$1074</c:f>
              <c:numCache>
                <c:formatCode>#,##0</c:formatCode>
                <c:ptCount val="2"/>
                <c:pt idx="0">
                  <c:v>-6.9644848000000037E-2</c:v>
                </c:pt>
              </c:numCache>
            </c:numRef>
          </c:val>
          <c:extLst>
            <c:ext xmlns:c16="http://schemas.microsoft.com/office/drawing/2014/chart" uri="{C3380CC4-5D6E-409C-BE32-E72D297353CC}">
              <c16:uniqueId val="{0000000A-119D-4156-8F79-85D3A91D08CD}"/>
            </c:ext>
          </c:extLst>
        </c:ser>
        <c:ser>
          <c:idx val="10"/>
          <c:order val="11"/>
          <c:tx>
            <c:strRef>
              <c:f>Grafer!$B$1075</c:f>
              <c:strCache>
                <c:ptCount val="1"/>
                <c:pt idx="0">
                  <c:v>Biogas</c:v>
                </c:pt>
              </c:strCache>
            </c:strRef>
          </c:tx>
          <c:invertIfNegative val="0"/>
          <c:cat>
            <c:strRef>
              <c:f>Grafer!$C$1062:$D$1062</c:f>
              <c:strCache>
                <c:ptCount val="2"/>
                <c:pt idx="0">
                  <c:v>Produktion</c:v>
                </c:pt>
                <c:pt idx="1">
                  <c:v>Forbrug</c:v>
                </c:pt>
              </c:strCache>
            </c:strRef>
          </c:cat>
          <c:val>
            <c:numRef>
              <c:f>Grafer!$C$1075:$D$1075</c:f>
              <c:numCache>
                <c:formatCode>#,##0</c:formatCode>
                <c:ptCount val="2"/>
                <c:pt idx="0">
                  <c:v>0</c:v>
                </c:pt>
              </c:numCache>
            </c:numRef>
          </c:val>
          <c:extLst>
            <c:ext xmlns:c16="http://schemas.microsoft.com/office/drawing/2014/chart" uri="{C3380CC4-5D6E-409C-BE32-E72D297353CC}">
              <c16:uniqueId val="{0000000B-119D-4156-8F79-85D3A91D08CD}"/>
            </c:ext>
          </c:extLst>
        </c:ser>
        <c:ser>
          <c:idx val="11"/>
          <c:order val="12"/>
          <c:tx>
            <c:strRef>
              <c:f>Grafer!$B$1076</c:f>
              <c:strCache>
                <c:ptCount val="1"/>
                <c:pt idx="0">
                  <c:v>Solenergi</c:v>
                </c:pt>
              </c:strCache>
            </c:strRef>
          </c:tx>
          <c:invertIfNegative val="0"/>
          <c:cat>
            <c:strRef>
              <c:f>Grafer!$C$1062:$D$1062</c:f>
              <c:strCache>
                <c:ptCount val="2"/>
                <c:pt idx="0">
                  <c:v>Produktion</c:v>
                </c:pt>
                <c:pt idx="1">
                  <c:v>Forbrug</c:v>
                </c:pt>
              </c:strCache>
            </c:strRef>
          </c:cat>
          <c:val>
            <c:numRef>
              <c:f>Grafer!$C$1076:$D$1076</c:f>
              <c:numCache>
                <c:formatCode>#,##0</c:formatCode>
                <c:ptCount val="2"/>
                <c:pt idx="0">
                  <c:v>18.14</c:v>
                </c:pt>
              </c:numCache>
            </c:numRef>
          </c:val>
          <c:extLst>
            <c:ext xmlns:c16="http://schemas.microsoft.com/office/drawing/2014/chart" uri="{C3380CC4-5D6E-409C-BE32-E72D297353CC}">
              <c16:uniqueId val="{0000000C-119D-4156-8F79-85D3A91D08CD}"/>
            </c:ext>
          </c:extLst>
        </c:ser>
        <c:ser>
          <c:idx val="12"/>
          <c:order val="13"/>
          <c:tx>
            <c:strRef>
              <c:f>Grafer!$B$1077</c:f>
              <c:strCache>
                <c:ptCount val="1"/>
                <c:pt idx="0">
                  <c:v>Vandenergi mv.</c:v>
                </c:pt>
              </c:strCache>
            </c:strRef>
          </c:tx>
          <c:invertIfNegative val="0"/>
          <c:cat>
            <c:strRef>
              <c:f>Grafer!$C$1062:$D$1062</c:f>
              <c:strCache>
                <c:ptCount val="2"/>
                <c:pt idx="0">
                  <c:v>Produktion</c:v>
                </c:pt>
                <c:pt idx="1">
                  <c:v>Forbrug</c:v>
                </c:pt>
              </c:strCache>
            </c:strRef>
          </c:cat>
          <c:val>
            <c:numRef>
              <c:f>Grafer!$C$1077:$D$1077</c:f>
              <c:numCache>
                <c:formatCode>#,##0</c:formatCode>
                <c:ptCount val="2"/>
                <c:pt idx="0">
                  <c:v>0.34699999999999998</c:v>
                </c:pt>
              </c:numCache>
            </c:numRef>
          </c:val>
          <c:extLst>
            <c:ext xmlns:c16="http://schemas.microsoft.com/office/drawing/2014/chart" uri="{C3380CC4-5D6E-409C-BE32-E72D297353CC}">
              <c16:uniqueId val="{0000000D-119D-4156-8F79-85D3A91D08CD}"/>
            </c:ext>
          </c:extLst>
        </c:ser>
        <c:ser>
          <c:idx val="0"/>
          <c:order val="14"/>
          <c:tx>
            <c:strRef>
              <c:f>Grafer!$B$1078</c:f>
              <c:strCache>
                <c:ptCount val="1"/>
                <c:pt idx="0">
                  <c:v>Elimport</c:v>
                </c:pt>
              </c:strCache>
            </c:strRef>
          </c:tx>
          <c:invertIfNegative val="0"/>
          <c:cat>
            <c:strRef>
              <c:f>Grafer!$C$1062:$D$1062</c:f>
              <c:strCache>
                <c:ptCount val="2"/>
                <c:pt idx="0">
                  <c:v>Produktion</c:v>
                </c:pt>
                <c:pt idx="1">
                  <c:v>Forbrug</c:v>
                </c:pt>
              </c:strCache>
            </c:strRef>
          </c:cat>
          <c:val>
            <c:numRef>
              <c:f>Grafer!$C$1078:$D$1078</c:f>
              <c:numCache>
                <c:formatCode>#,##0</c:formatCode>
                <c:ptCount val="2"/>
                <c:pt idx="0">
                  <c:v>44.480998126055781</c:v>
                </c:pt>
              </c:numCache>
            </c:numRef>
          </c:val>
          <c:extLst>
            <c:ext xmlns:c16="http://schemas.microsoft.com/office/drawing/2014/chart" uri="{C3380CC4-5D6E-409C-BE32-E72D297353CC}">
              <c16:uniqueId val="{0000000E-119D-4156-8F79-85D3A91D08CD}"/>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Grafer!$B$1117</c:f>
              <c:strCache>
                <c:ptCount val="1"/>
                <c:pt idx="0">
                  <c:v>Forbrug</c:v>
                </c:pt>
              </c:strCache>
            </c:strRef>
          </c:tx>
          <c:invertIfNegative val="0"/>
          <c:cat>
            <c:strRef>
              <c:f>Grafer!$C$1116:$D$1116</c:f>
              <c:strCache>
                <c:ptCount val="2"/>
                <c:pt idx="0">
                  <c:v>Produktion</c:v>
                </c:pt>
                <c:pt idx="1">
                  <c:v>Forbrug</c:v>
                </c:pt>
              </c:strCache>
            </c:strRef>
          </c:cat>
          <c:val>
            <c:numRef>
              <c:f>Grafer!$C$1117:$D$1117</c:f>
              <c:numCache>
                <c:formatCode>#,##0</c:formatCode>
                <c:ptCount val="2"/>
                <c:pt idx="1">
                  <c:v>15.636959999999998</c:v>
                </c:pt>
              </c:numCache>
            </c:numRef>
          </c:val>
          <c:extLst>
            <c:ext xmlns:c16="http://schemas.microsoft.com/office/drawing/2014/chart" uri="{C3380CC4-5D6E-409C-BE32-E72D297353CC}">
              <c16:uniqueId val="{00000000-9CE5-4A1B-8518-AF9CE0456671}"/>
            </c:ext>
          </c:extLst>
        </c:ser>
        <c:ser>
          <c:idx val="8"/>
          <c:order val="1"/>
          <c:tx>
            <c:strRef>
              <c:f>Grafer!$B$1118</c:f>
              <c:strCache>
                <c:ptCount val="1"/>
                <c:pt idx="0">
                  <c:v>Nettab</c:v>
                </c:pt>
              </c:strCache>
            </c:strRef>
          </c:tx>
          <c:spPr>
            <a:solidFill>
              <a:schemeClr val="accent5">
                <a:lumMod val="40000"/>
                <a:lumOff val="60000"/>
              </a:schemeClr>
            </a:solidFill>
          </c:spPr>
          <c:invertIfNegative val="0"/>
          <c:cat>
            <c:strRef>
              <c:f>Grafer!$C$1116:$D$1116</c:f>
              <c:strCache>
                <c:ptCount val="2"/>
                <c:pt idx="0">
                  <c:v>Produktion</c:v>
                </c:pt>
                <c:pt idx="1">
                  <c:v>Forbrug</c:v>
                </c:pt>
              </c:strCache>
            </c:strRef>
          </c:cat>
          <c:val>
            <c:numRef>
              <c:f>Grafer!$C$1118:$D$1118</c:f>
              <c:numCache>
                <c:formatCode>#,##0</c:formatCode>
                <c:ptCount val="2"/>
                <c:pt idx="1">
                  <c:v>5.2123200000000018</c:v>
                </c:pt>
              </c:numCache>
            </c:numRef>
          </c:val>
          <c:extLst>
            <c:ext xmlns:c16="http://schemas.microsoft.com/office/drawing/2014/chart" uri="{C3380CC4-5D6E-409C-BE32-E72D297353CC}">
              <c16:uniqueId val="{00000001-9CE5-4A1B-8518-AF9CE0456671}"/>
            </c:ext>
          </c:extLst>
        </c:ser>
        <c:ser>
          <c:idx val="3"/>
          <c:order val="2"/>
          <c:tx>
            <c:strRef>
              <c:f>Grafer!$B$1119</c:f>
              <c:strCache>
                <c:ptCount val="1"/>
                <c:pt idx="0">
                  <c:v>Egetforbrug af varme, industri</c:v>
                </c:pt>
              </c:strCache>
            </c:strRef>
          </c:tx>
          <c:invertIfNegative val="0"/>
          <c:cat>
            <c:strRef>
              <c:f>Grafer!$C$1116:$D$1116</c:f>
              <c:strCache>
                <c:ptCount val="2"/>
                <c:pt idx="0">
                  <c:v>Produktion</c:v>
                </c:pt>
                <c:pt idx="1">
                  <c:v>Forbrug</c:v>
                </c:pt>
              </c:strCache>
            </c:strRef>
          </c:cat>
          <c:val>
            <c:numRef>
              <c:f>Grafer!$C$1119:$D$1119</c:f>
              <c:numCache>
                <c:formatCode>#,##0</c:formatCode>
                <c:ptCount val="2"/>
                <c:pt idx="1">
                  <c:v>0</c:v>
                </c:pt>
              </c:numCache>
            </c:numRef>
          </c:val>
          <c:extLst>
            <c:ext xmlns:c16="http://schemas.microsoft.com/office/drawing/2014/chart" uri="{C3380CC4-5D6E-409C-BE32-E72D297353CC}">
              <c16:uniqueId val="{00000002-9CE5-4A1B-8518-AF9CE0456671}"/>
            </c:ext>
          </c:extLst>
        </c:ser>
        <c:ser>
          <c:idx val="1"/>
          <c:order val="3"/>
          <c:tx>
            <c:strRef>
              <c:f>Grafer!$B$1121</c:f>
              <c:strCache>
                <c:ptCount val="1"/>
                <c:pt idx="0">
                  <c:v>Kraftvarme</c:v>
                </c:pt>
              </c:strCache>
            </c:strRef>
          </c:tx>
          <c:invertIfNegative val="0"/>
          <c:cat>
            <c:strRef>
              <c:f>Grafer!$C$1116:$D$1116</c:f>
              <c:strCache>
                <c:ptCount val="2"/>
                <c:pt idx="0">
                  <c:v>Produktion</c:v>
                </c:pt>
                <c:pt idx="1">
                  <c:v>Forbrug</c:v>
                </c:pt>
              </c:strCache>
            </c:strRef>
          </c:cat>
          <c:val>
            <c:numRef>
              <c:f>Grafer!$C$1121:$D$1121</c:f>
              <c:numCache>
                <c:formatCode>#,##0</c:formatCode>
                <c:ptCount val="2"/>
                <c:pt idx="0">
                  <c:v>0</c:v>
                </c:pt>
              </c:numCache>
            </c:numRef>
          </c:val>
          <c:extLst>
            <c:ext xmlns:c16="http://schemas.microsoft.com/office/drawing/2014/chart" uri="{C3380CC4-5D6E-409C-BE32-E72D297353CC}">
              <c16:uniqueId val="{00000003-9CE5-4A1B-8518-AF9CE0456671}"/>
            </c:ext>
          </c:extLst>
        </c:ser>
        <c:ser>
          <c:idx val="4"/>
          <c:order val="4"/>
          <c:tx>
            <c:strRef>
              <c:f>Grafer!$B$1122</c:f>
              <c:strCache>
                <c:ptCount val="1"/>
                <c:pt idx="0">
                  <c:v>Kedel</c:v>
                </c:pt>
              </c:strCache>
            </c:strRef>
          </c:tx>
          <c:invertIfNegative val="0"/>
          <c:cat>
            <c:strRef>
              <c:f>Grafer!$C$1116:$D$1116</c:f>
              <c:strCache>
                <c:ptCount val="2"/>
                <c:pt idx="0">
                  <c:v>Produktion</c:v>
                </c:pt>
                <c:pt idx="1">
                  <c:v>Forbrug</c:v>
                </c:pt>
              </c:strCache>
            </c:strRef>
          </c:cat>
          <c:val>
            <c:numRef>
              <c:f>Grafer!$C$1122:$D$1122</c:f>
              <c:numCache>
                <c:formatCode>#,##0</c:formatCode>
                <c:ptCount val="2"/>
                <c:pt idx="0">
                  <c:v>20.84928</c:v>
                </c:pt>
              </c:numCache>
            </c:numRef>
          </c:val>
          <c:extLst>
            <c:ext xmlns:c16="http://schemas.microsoft.com/office/drawing/2014/chart" uri="{C3380CC4-5D6E-409C-BE32-E72D297353CC}">
              <c16:uniqueId val="{00000004-9CE5-4A1B-8518-AF9CE0456671}"/>
            </c:ext>
          </c:extLst>
        </c:ser>
        <c:ser>
          <c:idx val="6"/>
          <c:order val="5"/>
          <c:tx>
            <c:strRef>
              <c:f>Grafer!$B$1123</c:f>
              <c:strCache>
                <c:ptCount val="1"/>
                <c:pt idx="0">
                  <c:v>Varmepumper og elpatroner</c:v>
                </c:pt>
              </c:strCache>
            </c:strRef>
          </c:tx>
          <c:invertIfNegative val="0"/>
          <c:cat>
            <c:strRef>
              <c:f>Grafer!$C$1116:$D$1116</c:f>
              <c:strCache>
                <c:ptCount val="2"/>
                <c:pt idx="0">
                  <c:v>Produktion</c:v>
                </c:pt>
                <c:pt idx="1">
                  <c:v>Forbrug</c:v>
                </c:pt>
              </c:strCache>
            </c:strRef>
          </c:cat>
          <c:val>
            <c:numRef>
              <c:f>Grafer!$C$1123:$D$1123</c:f>
              <c:numCache>
                <c:formatCode>#,##0</c:formatCode>
                <c:ptCount val="2"/>
                <c:pt idx="0">
                  <c:v>0</c:v>
                </c:pt>
              </c:numCache>
            </c:numRef>
          </c:val>
          <c:extLst>
            <c:ext xmlns:c16="http://schemas.microsoft.com/office/drawing/2014/chart" uri="{C3380CC4-5D6E-409C-BE32-E72D297353CC}">
              <c16:uniqueId val="{00000005-9CE5-4A1B-8518-AF9CE0456671}"/>
            </c:ext>
          </c:extLst>
        </c:ser>
        <c:ser>
          <c:idx val="7"/>
          <c:order val="6"/>
          <c:tx>
            <c:strRef>
              <c:f>Grafer!$B$1124</c:f>
              <c:strCache>
                <c:ptCount val="1"/>
                <c:pt idx="0">
                  <c:v>Solvarme</c:v>
                </c:pt>
              </c:strCache>
            </c:strRef>
          </c:tx>
          <c:spPr>
            <a:solidFill>
              <a:srgbClr val="FFC000"/>
            </a:solidFill>
          </c:spPr>
          <c:invertIfNegative val="0"/>
          <c:cat>
            <c:strRef>
              <c:f>Grafer!$C$1116:$D$1116</c:f>
              <c:strCache>
                <c:ptCount val="2"/>
                <c:pt idx="0">
                  <c:v>Produktion</c:v>
                </c:pt>
                <c:pt idx="1">
                  <c:v>Forbrug</c:v>
                </c:pt>
              </c:strCache>
            </c:strRef>
          </c:cat>
          <c:val>
            <c:numRef>
              <c:f>Grafer!$C$1124:$D$1124</c:f>
              <c:numCache>
                <c:formatCode>#,##0</c:formatCode>
                <c:ptCount val="2"/>
                <c:pt idx="0">
                  <c:v>0</c:v>
                </c:pt>
              </c:numCache>
            </c:numRef>
          </c:val>
          <c:extLst>
            <c:ext xmlns:c16="http://schemas.microsoft.com/office/drawing/2014/chart" uri="{C3380CC4-5D6E-409C-BE32-E72D297353CC}">
              <c16:uniqueId val="{00000006-9CE5-4A1B-8518-AF9CE0456671}"/>
            </c:ext>
          </c:extLst>
        </c:ser>
        <c:ser>
          <c:idx val="9"/>
          <c:order val="7"/>
          <c:tx>
            <c:strRef>
              <c:f>Grafer!$B$1125</c:f>
              <c:strCache>
                <c:ptCount val="1"/>
                <c:pt idx="0">
                  <c:v>Geotermi</c:v>
                </c:pt>
              </c:strCache>
            </c:strRef>
          </c:tx>
          <c:spPr>
            <a:solidFill>
              <a:schemeClr val="bg2">
                <a:lumMod val="50000"/>
              </a:schemeClr>
            </a:solidFill>
          </c:spPr>
          <c:invertIfNegative val="0"/>
          <c:cat>
            <c:strRef>
              <c:f>Grafer!$C$1116:$D$1116</c:f>
              <c:strCache>
                <c:ptCount val="2"/>
                <c:pt idx="0">
                  <c:v>Produktion</c:v>
                </c:pt>
                <c:pt idx="1">
                  <c:v>Forbrug</c:v>
                </c:pt>
              </c:strCache>
            </c:strRef>
          </c:cat>
          <c:val>
            <c:numRef>
              <c:f>Grafer!$C$1125:$D$1125</c:f>
              <c:numCache>
                <c:formatCode>#,##0</c:formatCode>
                <c:ptCount val="2"/>
                <c:pt idx="0">
                  <c:v>0</c:v>
                </c:pt>
              </c:numCache>
            </c:numRef>
          </c:val>
          <c:extLst>
            <c:ext xmlns:c16="http://schemas.microsoft.com/office/drawing/2014/chart" uri="{C3380CC4-5D6E-409C-BE32-E72D297353CC}">
              <c16:uniqueId val="{00000007-9CE5-4A1B-8518-AF9CE0456671}"/>
            </c:ext>
          </c:extLst>
        </c:ser>
        <c:ser>
          <c:idx val="5"/>
          <c:order val="8"/>
          <c:tx>
            <c:strRef>
              <c:f>Grafer!$B$1126</c:f>
              <c:strCache>
                <c:ptCount val="1"/>
                <c:pt idx="0">
                  <c:v>Overskudsvarme</c:v>
                </c:pt>
              </c:strCache>
            </c:strRef>
          </c:tx>
          <c:invertIfNegative val="0"/>
          <c:cat>
            <c:strRef>
              <c:f>Grafer!$C$1116:$D$1116</c:f>
              <c:strCache>
                <c:ptCount val="2"/>
                <c:pt idx="0">
                  <c:v>Produktion</c:v>
                </c:pt>
                <c:pt idx="1">
                  <c:v>Forbrug</c:v>
                </c:pt>
              </c:strCache>
            </c:strRef>
          </c:cat>
          <c:val>
            <c:numRef>
              <c:f>Grafer!$C$1126:$D$1126</c:f>
              <c:numCache>
                <c:formatCode>#,##0</c:formatCode>
                <c:ptCount val="2"/>
                <c:pt idx="0">
                  <c:v>0</c:v>
                </c:pt>
              </c:numCache>
            </c:numRef>
          </c:val>
          <c:extLst>
            <c:ext xmlns:c16="http://schemas.microsoft.com/office/drawing/2014/chart" uri="{C3380CC4-5D6E-409C-BE32-E72D297353CC}">
              <c16:uniqueId val="{00000008-9CE5-4A1B-8518-AF9CE0456671}"/>
            </c:ext>
          </c:extLst>
        </c:ser>
        <c:ser>
          <c:idx val="10"/>
          <c:order val="9"/>
          <c:tx>
            <c:strRef>
              <c:f>Grafer!$B$1127</c:f>
              <c:strCache>
                <c:ptCount val="1"/>
                <c:pt idx="0">
                  <c:v>Import fjernvarme</c:v>
                </c:pt>
              </c:strCache>
            </c:strRef>
          </c:tx>
          <c:spPr>
            <a:solidFill>
              <a:schemeClr val="accent6">
                <a:lumMod val="60000"/>
                <a:lumOff val="40000"/>
              </a:schemeClr>
            </a:solidFill>
          </c:spPr>
          <c:invertIfNegative val="0"/>
          <c:cat>
            <c:strRef>
              <c:f>Grafer!$C$1116:$D$1116</c:f>
              <c:strCache>
                <c:ptCount val="2"/>
                <c:pt idx="0">
                  <c:v>Produktion</c:v>
                </c:pt>
                <c:pt idx="1">
                  <c:v>Forbrug</c:v>
                </c:pt>
              </c:strCache>
            </c:strRef>
          </c:cat>
          <c:val>
            <c:numRef>
              <c:f>Grafer!$C$1127:$D$1127</c:f>
              <c:numCache>
                <c:formatCode>#,##0</c:formatCode>
                <c:ptCount val="2"/>
                <c:pt idx="0">
                  <c:v>0</c:v>
                </c:pt>
              </c:numCache>
            </c:numRef>
          </c:val>
          <c:extLst>
            <c:ext xmlns:c16="http://schemas.microsoft.com/office/drawing/2014/chart" uri="{C3380CC4-5D6E-409C-BE32-E72D297353CC}">
              <c16:uniqueId val="{00000009-9CE5-4A1B-8518-AF9CE0456671}"/>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Grafer!$B$1163</c:f>
              <c:strCache>
                <c:ptCount val="1"/>
                <c:pt idx="0">
                  <c:v>Forbrug</c:v>
                </c:pt>
              </c:strCache>
            </c:strRef>
          </c:tx>
          <c:invertIfNegative val="0"/>
          <c:cat>
            <c:strRef>
              <c:f>Grafer!$C$1162:$D$1162</c:f>
              <c:strCache>
                <c:ptCount val="2"/>
                <c:pt idx="0">
                  <c:v>Produktion</c:v>
                </c:pt>
                <c:pt idx="1">
                  <c:v>Forbrug</c:v>
                </c:pt>
              </c:strCache>
            </c:strRef>
          </c:cat>
          <c:val>
            <c:numRef>
              <c:f>Grafer!$C$1163:$D$1163</c:f>
              <c:numCache>
                <c:formatCode>#,##0</c:formatCode>
                <c:ptCount val="2"/>
                <c:pt idx="1">
                  <c:v>15.636959999999998</c:v>
                </c:pt>
              </c:numCache>
            </c:numRef>
          </c:val>
          <c:extLst>
            <c:ext xmlns:c16="http://schemas.microsoft.com/office/drawing/2014/chart" uri="{C3380CC4-5D6E-409C-BE32-E72D297353CC}">
              <c16:uniqueId val="{00000000-BBA2-4AD8-BC28-40D1F7882CF8}"/>
            </c:ext>
          </c:extLst>
        </c:ser>
        <c:ser>
          <c:idx val="1"/>
          <c:order val="1"/>
          <c:tx>
            <c:strRef>
              <c:f>Grafer!$B$1164</c:f>
              <c:strCache>
                <c:ptCount val="1"/>
                <c:pt idx="0">
                  <c:v>Nettab</c:v>
                </c:pt>
              </c:strCache>
            </c:strRef>
          </c:tx>
          <c:spPr>
            <a:solidFill>
              <a:schemeClr val="accent5">
                <a:lumMod val="40000"/>
                <a:lumOff val="60000"/>
              </a:schemeClr>
            </a:solidFill>
          </c:spPr>
          <c:invertIfNegative val="0"/>
          <c:cat>
            <c:strRef>
              <c:f>Grafer!$C$1162:$D$1162</c:f>
              <c:strCache>
                <c:ptCount val="2"/>
                <c:pt idx="0">
                  <c:v>Produktion</c:v>
                </c:pt>
                <c:pt idx="1">
                  <c:v>Forbrug</c:v>
                </c:pt>
              </c:strCache>
            </c:strRef>
          </c:cat>
          <c:val>
            <c:numRef>
              <c:f>Grafer!$C$1164:$D$1164</c:f>
              <c:numCache>
                <c:formatCode>#,##0</c:formatCode>
                <c:ptCount val="2"/>
                <c:pt idx="1">
                  <c:v>5.2123200000000018</c:v>
                </c:pt>
              </c:numCache>
            </c:numRef>
          </c:val>
          <c:extLst>
            <c:ext xmlns:c16="http://schemas.microsoft.com/office/drawing/2014/chart" uri="{C3380CC4-5D6E-409C-BE32-E72D297353CC}">
              <c16:uniqueId val="{00000001-BBA2-4AD8-BC28-40D1F7882CF8}"/>
            </c:ext>
          </c:extLst>
        </c:ser>
        <c:ser>
          <c:idx val="3"/>
          <c:order val="2"/>
          <c:tx>
            <c:strRef>
              <c:f>Grafer!$B$1165</c:f>
              <c:strCache>
                <c:ptCount val="1"/>
                <c:pt idx="0">
                  <c:v>Egetforbrug af varme, industri</c:v>
                </c:pt>
              </c:strCache>
            </c:strRef>
          </c:tx>
          <c:invertIfNegative val="0"/>
          <c:cat>
            <c:strRef>
              <c:f>Grafer!$C$1162:$D$1162</c:f>
              <c:strCache>
                <c:ptCount val="2"/>
                <c:pt idx="0">
                  <c:v>Produktion</c:v>
                </c:pt>
                <c:pt idx="1">
                  <c:v>Forbrug</c:v>
                </c:pt>
              </c:strCache>
            </c:strRef>
          </c:cat>
          <c:val>
            <c:numRef>
              <c:f>Grafer!$C$1165:$D$1165</c:f>
              <c:numCache>
                <c:formatCode>0</c:formatCode>
                <c:ptCount val="2"/>
                <c:pt idx="1">
                  <c:v>0</c:v>
                </c:pt>
              </c:numCache>
            </c:numRef>
          </c:val>
          <c:extLst>
            <c:ext xmlns:c16="http://schemas.microsoft.com/office/drawing/2014/chart" uri="{C3380CC4-5D6E-409C-BE32-E72D297353CC}">
              <c16:uniqueId val="{00000002-BBA2-4AD8-BC28-40D1F7882CF8}"/>
            </c:ext>
          </c:extLst>
        </c:ser>
        <c:ser>
          <c:idx val="2"/>
          <c:order val="3"/>
          <c:tx>
            <c:strRef>
              <c:f>Grafer!$B$1167</c:f>
              <c:strCache>
                <c:ptCount val="1"/>
                <c:pt idx="0">
                  <c:v>Brændselsolie/diesel</c:v>
                </c:pt>
              </c:strCache>
            </c:strRef>
          </c:tx>
          <c:invertIfNegative val="0"/>
          <c:cat>
            <c:strRef>
              <c:f>Grafer!$C$1162:$D$1162</c:f>
              <c:strCache>
                <c:ptCount val="2"/>
                <c:pt idx="0">
                  <c:v>Produktion</c:v>
                </c:pt>
                <c:pt idx="1">
                  <c:v>Forbrug</c:v>
                </c:pt>
              </c:strCache>
            </c:strRef>
          </c:cat>
          <c:val>
            <c:numRef>
              <c:f>Grafer!$C$1167:$D$1167</c:f>
              <c:numCache>
                <c:formatCode>#,##0</c:formatCode>
                <c:ptCount val="2"/>
                <c:pt idx="0">
                  <c:v>0.47808</c:v>
                </c:pt>
              </c:numCache>
            </c:numRef>
          </c:val>
          <c:extLst>
            <c:ext xmlns:c16="http://schemas.microsoft.com/office/drawing/2014/chart" uri="{C3380CC4-5D6E-409C-BE32-E72D297353CC}">
              <c16:uniqueId val="{00000003-BBA2-4AD8-BC28-40D1F7882CF8}"/>
            </c:ext>
          </c:extLst>
        </c:ser>
        <c:ser>
          <c:idx val="4"/>
          <c:order val="4"/>
          <c:tx>
            <c:strRef>
              <c:f>Grafer!$B$1168</c:f>
              <c:strCache>
                <c:ptCount val="1"/>
                <c:pt idx="0">
                  <c:v>Kul</c:v>
                </c:pt>
              </c:strCache>
            </c:strRef>
          </c:tx>
          <c:invertIfNegative val="0"/>
          <c:cat>
            <c:strRef>
              <c:f>Grafer!$C$1162:$D$1162</c:f>
              <c:strCache>
                <c:ptCount val="2"/>
                <c:pt idx="0">
                  <c:v>Produktion</c:v>
                </c:pt>
                <c:pt idx="1">
                  <c:v>Forbrug</c:v>
                </c:pt>
              </c:strCache>
            </c:strRef>
          </c:cat>
          <c:val>
            <c:numRef>
              <c:f>Grafer!$C$1168:$D$1168</c:f>
              <c:numCache>
                <c:formatCode>#,##0</c:formatCode>
                <c:ptCount val="2"/>
                <c:pt idx="0">
                  <c:v>0</c:v>
                </c:pt>
              </c:numCache>
            </c:numRef>
          </c:val>
          <c:extLst>
            <c:ext xmlns:c16="http://schemas.microsoft.com/office/drawing/2014/chart" uri="{C3380CC4-5D6E-409C-BE32-E72D297353CC}">
              <c16:uniqueId val="{00000004-BBA2-4AD8-BC28-40D1F7882CF8}"/>
            </c:ext>
          </c:extLst>
        </c:ser>
        <c:ser>
          <c:idx val="14"/>
          <c:order val="5"/>
          <c:tx>
            <c:strRef>
              <c:f>Grafer!$B$1169</c:f>
              <c:strCache>
                <c:ptCount val="1"/>
                <c:pt idx="0">
                  <c:v>Fuelolie</c:v>
                </c:pt>
              </c:strCache>
            </c:strRef>
          </c:tx>
          <c:spPr>
            <a:solidFill>
              <a:schemeClr val="accent6">
                <a:lumMod val="75000"/>
              </a:schemeClr>
            </a:solidFill>
          </c:spPr>
          <c:invertIfNegative val="0"/>
          <c:cat>
            <c:strRef>
              <c:f>Grafer!$C$1162:$D$1162</c:f>
              <c:strCache>
                <c:ptCount val="2"/>
                <c:pt idx="0">
                  <c:v>Produktion</c:v>
                </c:pt>
                <c:pt idx="1">
                  <c:v>Forbrug</c:v>
                </c:pt>
              </c:strCache>
            </c:strRef>
          </c:cat>
          <c:val>
            <c:numRef>
              <c:f>Grafer!$C$1169:$D$1169</c:f>
              <c:numCache>
                <c:formatCode>#,##0</c:formatCode>
                <c:ptCount val="2"/>
                <c:pt idx="0">
                  <c:v>0</c:v>
                </c:pt>
              </c:numCache>
            </c:numRef>
          </c:val>
          <c:extLst>
            <c:ext xmlns:c16="http://schemas.microsoft.com/office/drawing/2014/chart" uri="{C3380CC4-5D6E-409C-BE32-E72D297353CC}">
              <c16:uniqueId val="{00000005-BBA2-4AD8-BC28-40D1F7882CF8}"/>
            </c:ext>
          </c:extLst>
        </c:ser>
        <c:ser>
          <c:idx val="13"/>
          <c:order val="6"/>
          <c:tx>
            <c:strRef>
              <c:f>Grafer!$B$1170</c:f>
              <c:strCache>
                <c:ptCount val="1"/>
                <c:pt idx="0">
                  <c:v>Naturgas</c:v>
                </c:pt>
              </c:strCache>
            </c:strRef>
          </c:tx>
          <c:spPr>
            <a:solidFill>
              <a:schemeClr val="accent4">
                <a:lumMod val="75000"/>
              </a:schemeClr>
            </a:solidFill>
          </c:spPr>
          <c:invertIfNegative val="0"/>
          <c:cat>
            <c:strRef>
              <c:f>Grafer!$C$1162:$D$1162</c:f>
              <c:strCache>
                <c:ptCount val="2"/>
                <c:pt idx="0">
                  <c:v>Produktion</c:v>
                </c:pt>
                <c:pt idx="1">
                  <c:v>Forbrug</c:v>
                </c:pt>
              </c:strCache>
            </c:strRef>
          </c:cat>
          <c:val>
            <c:numRef>
              <c:f>Grafer!$C$1170:$D$1170</c:f>
              <c:numCache>
                <c:formatCode>#,##0</c:formatCode>
                <c:ptCount val="2"/>
                <c:pt idx="0">
                  <c:v>0</c:v>
                </c:pt>
              </c:numCache>
            </c:numRef>
          </c:val>
          <c:extLst>
            <c:ext xmlns:c16="http://schemas.microsoft.com/office/drawing/2014/chart" uri="{C3380CC4-5D6E-409C-BE32-E72D297353CC}">
              <c16:uniqueId val="{00000006-BBA2-4AD8-BC28-40D1F7882CF8}"/>
            </c:ext>
          </c:extLst>
        </c:ser>
        <c:ser>
          <c:idx val="7"/>
          <c:order val="7"/>
          <c:tx>
            <c:strRef>
              <c:f>Grafer!$B$1171</c:f>
              <c:strCache>
                <c:ptCount val="1"/>
                <c:pt idx="0">
                  <c:v>Affald, ikke bionedbrydeligt</c:v>
                </c:pt>
              </c:strCache>
            </c:strRef>
          </c:tx>
          <c:invertIfNegative val="0"/>
          <c:cat>
            <c:strRef>
              <c:f>Grafer!$C$1162:$D$1162</c:f>
              <c:strCache>
                <c:ptCount val="2"/>
                <c:pt idx="0">
                  <c:v>Produktion</c:v>
                </c:pt>
                <c:pt idx="1">
                  <c:v>Forbrug</c:v>
                </c:pt>
              </c:strCache>
            </c:strRef>
          </c:cat>
          <c:val>
            <c:numRef>
              <c:f>Grafer!$C$1171:$D$1171</c:f>
              <c:numCache>
                <c:formatCode>#,##0</c:formatCode>
                <c:ptCount val="2"/>
                <c:pt idx="0">
                  <c:v>0</c:v>
                </c:pt>
              </c:numCache>
            </c:numRef>
          </c:val>
          <c:extLst>
            <c:ext xmlns:c16="http://schemas.microsoft.com/office/drawing/2014/chart" uri="{C3380CC4-5D6E-409C-BE32-E72D297353CC}">
              <c16:uniqueId val="{00000007-BBA2-4AD8-BC28-40D1F7882CF8}"/>
            </c:ext>
          </c:extLst>
        </c:ser>
        <c:ser>
          <c:idx val="8"/>
          <c:order val="8"/>
          <c:tx>
            <c:strRef>
              <c:f>Grafer!$B$1172</c:f>
              <c:strCache>
                <c:ptCount val="1"/>
                <c:pt idx="0">
                  <c:v>Affald, bionedbrydeligt</c:v>
                </c:pt>
              </c:strCache>
            </c:strRef>
          </c:tx>
          <c:invertIfNegative val="0"/>
          <c:cat>
            <c:strRef>
              <c:f>Grafer!$C$1162:$D$1162</c:f>
              <c:strCache>
                <c:ptCount val="2"/>
                <c:pt idx="0">
                  <c:v>Produktion</c:v>
                </c:pt>
                <c:pt idx="1">
                  <c:v>Forbrug</c:v>
                </c:pt>
              </c:strCache>
            </c:strRef>
          </c:cat>
          <c:val>
            <c:numRef>
              <c:f>Grafer!$C$1172:$D$1172</c:f>
              <c:numCache>
                <c:formatCode>#,##0</c:formatCode>
                <c:ptCount val="2"/>
                <c:pt idx="0">
                  <c:v>0</c:v>
                </c:pt>
              </c:numCache>
            </c:numRef>
          </c:val>
          <c:extLst>
            <c:ext xmlns:c16="http://schemas.microsoft.com/office/drawing/2014/chart" uri="{C3380CC4-5D6E-409C-BE32-E72D297353CC}">
              <c16:uniqueId val="{00000008-BBA2-4AD8-BC28-40D1F7882CF8}"/>
            </c:ext>
          </c:extLst>
        </c:ser>
        <c:ser>
          <c:idx val="10"/>
          <c:order val="9"/>
          <c:tx>
            <c:strRef>
              <c:f>Grafer!$B$1173</c:f>
              <c:strCache>
                <c:ptCount val="1"/>
                <c:pt idx="0">
                  <c:v>Biomasse</c:v>
                </c:pt>
              </c:strCache>
            </c:strRef>
          </c:tx>
          <c:invertIfNegative val="0"/>
          <c:cat>
            <c:strRef>
              <c:f>Grafer!$C$1162:$D$1162</c:f>
              <c:strCache>
                <c:ptCount val="2"/>
                <c:pt idx="0">
                  <c:v>Produktion</c:v>
                </c:pt>
                <c:pt idx="1">
                  <c:v>Forbrug</c:v>
                </c:pt>
              </c:strCache>
            </c:strRef>
          </c:cat>
          <c:val>
            <c:numRef>
              <c:f>Grafer!$C$1173:$D$1173</c:f>
              <c:numCache>
                <c:formatCode>#,##0</c:formatCode>
                <c:ptCount val="2"/>
                <c:pt idx="0">
                  <c:v>20.371199999999998</c:v>
                </c:pt>
              </c:numCache>
            </c:numRef>
          </c:val>
          <c:extLst>
            <c:ext xmlns:c16="http://schemas.microsoft.com/office/drawing/2014/chart" uri="{C3380CC4-5D6E-409C-BE32-E72D297353CC}">
              <c16:uniqueId val="{00000009-BBA2-4AD8-BC28-40D1F7882CF8}"/>
            </c:ext>
          </c:extLst>
        </c:ser>
        <c:ser>
          <c:idx val="9"/>
          <c:order val="10"/>
          <c:tx>
            <c:strRef>
              <c:f>Grafer!$B$1174</c:f>
              <c:strCache>
                <c:ptCount val="1"/>
                <c:pt idx="0">
                  <c:v>El (varmepumper, elpatroner)</c:v>
                </c:pt>
              </c:strCache>
            </c:strRef>
          </c:tx>
          <c:invertIfNegative val="0"/>
          <c:cat>
            <c:strRef>
              <c:f>Grafer!$C$1162:$D$1162</c:f>
              <c:strCache>
                <c:ptCount val="2"/>
                <c:pt idx="0">
                  <c:v>Produktion</c:v>
                </c:pt>
                <c:pt idx="1">
                  <c:v>Forbrug</c:v>
                </c:pt>
              </c:strCache>
            </c:strRef>
          </c:cat>
          <c:val>
            <c:numRef>
              <c:f>Grafer!$C$1174:$D$1174</c:f>
              <c:numCache>
                <c:formatCode>#,##0</c:formatCode>
                <c:ptCount val="2"/>
                <c:pt idx="0">
                  <c:v>0</c:v>
                </c:pt>
              </c:numCache>
            </c:numRef>
          </c:val>
          <c:extLst>
            <c:ext xmlns:c16="http://schemas.microsoft.com/office/drawing/2014/chart" uri="{C3380CC4-5D6E-409C-BE32-E72D297353CC}">
              <c16:uniqueId val="{0000000A-BBA2-4AD8-BC28-40D1F7882CF8}"/>
            </c:ext>
          </c:extLst>
        </c:ser>
        <c:ser>
          <c:idx val="11"/>
          <c:order val="11"/>
          <c:tx>
            <c:strRef>
              <c:f>Grafer!$B$1175</c:f>
              <c:strCache>
                <c:ptCount val="1"/>
                <c:pt idx="0">
                  <c:v>Biogas</c:v>
                </c:pt>
              </c:strCache>
            </c:strRef>
          </c:tx>
          <c:invertIfNegative val="0"/>
          <c:cat>
            <c:strRef>
              <c:f>Grafer!$C$1162:$D$1162</c:f>
              <c:strCache>
                <c:ptCount val="2"/>
                <c:pt idx="0">
                  <c:v>Produktion</c:v>
                </c:pt>
                <c:pt idx="1">
                  <c:v>Forbrug</c:v>
                </c:pt>
              </c:strCache>
            </c:strRef>
          </c:cat>
          <c:val>
            <c:numRef>
              <c:f>Grafer!$C$1175:$D$1175</c:f>
              <c:numCache>
                <c:formatCode>#,##0</c:formatCode>
                <c:ptCount val="2"/>
                <c:pt idx="0">
                  <c:v>0</c:v>
                </c:pt>
              </c:numCache>
            </c:numRef>
          </c:val>
          <c:extLst>
            <c:ext xmlns:c16="http://schemas.microsoft.com/office/drawing/2014/chart" uri="{C3380CC4-5D6E-409C-BE32-E72D297353CC}">
              <c16:uniqueId val="{0000000B-BBA2-4AD8-BC28-40D1F7882CF8}"/>
            </c:ext>
          </c:extLst>
        </c:ser>
        <c:ser>
          <c:idx val="12"/>
          <c:order val="12"/>
          <c:tx>
            <c:strRef>
              <c:f>Grafer!$B$1176</c:f>
              <c:strCache>
                <c:ptCount val="1"/>
                <c:pt idx="0">
                  <c:v>Solenergi</c:v>
                </c:pt>
              </c:strCache>
            </c:strRef>
          </c:tx>
          <c:invertIfNegative val="0"/>
          <c:cat>
            <c:strRef>
              <c:f>Grafer!$C$1162:$D$1162</c:f>
              <c:strCache>
                <c:ptCount val="2"/>
                <c:pt idx="0">
                  <c:v>Produktion</c:v>
                </c:pt>
                <c:pt idx="1">
                  <c:v>Forbrug</c:v>
                </c:pt>
              </c:strCache>
            </c:strRef>
          </c:cat>
          <c:val>
            <c:numRef>
              <c:f>Grafer!$C$1176:$D$1176</c:f>
              <c:numCache>
                <c:formatCode>#,##0</c:formatCode>
                <c:ptCount val="2"/>
                <c:pt idx="0">
                  <c:v>0</c:v>
                </c:pt>
              </c:numCache>
            </c:numRef>
          </c:val>
          <c:extLst>
            <c:ext xmlns:c16="http://schemas.microsoft.com/office/drawing/2014/chart" uri="{C3380CC4-5D6E-409C-BE32-E72D297353CC}">
              <c16:uniqueId val="{0000000C-BBA2-4AD8-BC28-40D1F7882CF8}"/>
            </c:ext>
          </c:extLst>
        </c:ser>
        <c:ser>
          <c:idx val="5"/>
          <c:order val="13"/>
          <c:tx>
            <c:strRef>
              <c:f>Grafer!$B$1177</c:f>
              <c:strCache>
                <c:ptCount val="1"/>
                <c:pt idx="0">
                  <c:v>Geotermi</c:v>
                </c:pt>
              </c:strCache>
            </c:strRef>
          </c:tx>
          <c:spPr>
            <a:solidFill>
              <a:schemeClr val="bg2">
                <a:lumMod val="50000"/>
              </a:schemeClr>
            </a:solidFill>
          </c:spPr>
          <c:invertIfNegative val="0"/>
          <c:cat>
            <c:strRef>
              <c:f>Grafer!$C$1162:$D$1162</c:f>
              <c:strCache>
                <c:ptCount val="2"/>
                <c:pt idx="0">
                  <c:v>Produktion</c:v>
                </c:pt>
                <c:pt idx="1">
                  <c:v>Forbrug</c:v>
                </c:pt>
              </c:strCache>
            </c:strRef>
          </c:cat>
          <c:val>
            <c:numRef>
              <c:f>Grafer!$C$1177:$D$1177</c:f>
              <c:numCache>
                <c:formatCode>#,##0</c:formatCode>
                <c:ptCount val="2"/>
                <c:pt idx="0">
                  <c:v>0</c:v>
                </c:pt>
              </c:numCache>
            </c:numRef>
          </c:val>
          <c:extLst>
            <c:ext xmlns:c16="http://schemas.microsoft.com/office/drawing/2014/chart" uri="{C3380CC4-5D6E-409C-BE32-E72D297353CC}">
              <c16:uniqueId val="{0000000D-BBA2-4AD8-BC28-40D1F7882CF8}"/>
            </c:ext>
          </c:extLst>
        </c:ser>
        <c:ser>
          <c:idx val="15"/>
          <c:order val="14"/>
          <c:tx>
            <c:strRef>
              <c:f>Grafer!$B$1178</c:f>
              <c:strCache>
                <c:ptCount val="1"/>
                <c:pt idx="0">
                  <c:v>Overskudsvarme</c:v>
                </c:pt>
              </c:strCache>
            </c:strRef>
          </c:tx>
          <c:spPr>
            <a:solidFill>
              <a:schemeClr val="accent6">
                <a:lumMod val="60000"/>
                <a:lumOff val="40000"/>
              </a:schemeClr>
            </a:solidFill>
          </c:spPr>
          <c:invertIfNegative val="0"/>
          <c:cat>
            <c:strRef>
              <c:f>Grafer!$C$1162:$D$1162</c:f>
              <c:strCache>
                <c:ptCount val="2"/>
                <c:pt idx="0">
                  <c:v>Produktion</c:v>
                </c:pt>
                <c:pt idx="1">
                  <c:v>Forbrug</c:v>
                </c:pt>
              </c:strCache>
            </c:strRef>
          </c:cat>
          <c:val>
            <c:numRef>
              <c:f>Grafer!$C$1178:$D$1178</c:f>
              <c:numCache>
                <c:formatCode>#,##0</c:formatCode>
                <c:ptCount val="2"/>
                <c:pt idx="0">
                  <c:v>0</c:v>
                </c:pt>
              </c:numCache>
            </c:numRef>
          </c:val>
          <c:extLst>
            <c:ext xmlns:c16="http://schemas.microsoft.com/office/drawing/2014/chart" uri="{C3380CC4-5D6E-409C-BE32-E72D297353CC}">
              <c16:uniqueId val="{0000000E-BBA2-4AD8-BC28-40D1F7882CF8}"/>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Grafer!$C$643:$E$643</c15:sqref>
                  </c15:fullRef>
                </c:ext>
              </c:extLst>
              <c:f>Grafer!$C$643:$D$643</c:f>
              <c:numCache>
                <c:formatCode>#,##0</c:formatCode>
                <c:ptCount val="2"/>
                <c:pt idx="0">
                  <c:v>1.8314999999999999</c:v>
                </c:pt>
                <c:pt idx="1">
                  <c:v>0.52747199999999994</c:v>
                </c:pt>
              </c:numCache>
            </c:numRef>
          </c:val>
          <c:extLst>
            <c:ext xmlns:c16="http://schemas.microsoft.com/office/drawing/2014/chart" uri="{C3380CC4-5D6E-409C-BE32-E72D297353CC}">
              <c16:uniqueId val="{00000000-51A9-41F9-B208-56B0DDAA8C94}"/>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Grafer!$C$644:$E$644</c15:sqref>
                  </c15:fullRef>
                </c:ext>
              </c:extLst>
              <c:f>Grafer!$C$644:$D$644</c:f>
              <c:numCache>
                <c:formatCode>#,##0</c:formatCode>
                <c:ptCount val="2"/>
                <c:pt idx="0">
                  <c:v>3.6851999999999996E-2</c:v>
                </c:pt>
                <c:pt idx="1">
                  <c:v>3.537792E-2</c:v>
                </c:pt>
              </c:numCache>
            </c:numRef>
          </c:val>
          <c:extLst>
            <c:ext xmlns:c16="http://schemas.microsoft.com/office/drawing/2014/chart" uri="{C3380CC4-5D6E-409C-BE32-E72D297353CC}">
              <c16:uniqueId val="{00000001-51A9-41F9-B208-56B0DDAA8C94}"/>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Grafer!$C$645:$E$645</c15:sqref>
                  </c15:fullRef>
                </c:ext>
              </c:extLst>
              <c:f>Grafer!$C$645:$D$645</c:f>
              <c:numCache>
                <c:formatCode>#,##0</c:formatCode>
                <c:ptCount val="2"/>
                <c:pt idx="0">
                  <c:v>5.6159000000000001E-2</c:v>
                </c:pt>
                <c:pt idx="1">
                  <c:v>5.6159000000000001E-2</c:v>
                </c:pt>
              </c:numCache>
            </c:numRef>
          </c:val>
          <c:extLst>
            <c:ext xmlns:c16="http://schemas.microsoft.com/office/drawing/2014/chart" uri="{C3380CC4-5D6E-409C-BE32-E72D297353CC}">
              <c16:uniqueId val="{00000002-51A9-41F9-B208-56B0DDAA8C94}"/>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Grafer!$C$646:$E$646</c15:sqref>
                  </c15:fullRef>
                </c:ext>
              </c:extLst>
              <c:f>Grafer!$C$646:$D$646</c:f>
              <c:numCache>
                <c:formatCode>#,##0</c:formatCode>
                <c:ptCount val="2"/>
                <c:pt idx="0">
                  <c:v>6.5195312800000007</c:v>
                </c:pt>
                <c:pt idx="1">
                  <c:v>6.2675864320420009</c:v>
                </c:pt>
              </c:numCache>
            </c:numRef>
          </c:val>
          <c:extLst>
            <c:ext xmlns:c16="http://schemas.microsoft.com/office/drawing/2014/chart" uri="{C3380CC4-5D6E-409C-BE32-E72D297353CC}">
              <c16:uniqueId val="{00000003-51A9-41F9-B208-56B0DDAA8C94}"/>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Grafer!$C$647:$E$647</c15:sqref>
                  </c15:fullRef>
                </c:ext>
              </c:extLst>
              <c:f>Grafer!$C$647:$D$647</c:f>
              <c:numCache>
                <c:formatCode>#,##0</c:formatCode>
                <c:ptCount val="2"/>
              </c:numCache>
            </c:numRef>
          </c:val>
          <c:extLst>
            <c:ext xmlns:c16="http://schemas.microsoft.com/office/drawing/2014/chart" uri="{C3380CC4-5D6E-409C-BE32-E72D297353CC}">
              <c16:uniqueId val="{00000004-51A9-41F9-B208-56B0DDAA8C94}"/>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Grafer!$C$648:$E$648</c15:sqref>
                  </c15:fullRef>
                </c:ext>
              </c:extLst>
              <c:f>Grafer!$C$648:$D$648</c:f>
              <c:numCache>
                <c:formatCode>#,##0</c:formatCode>
                <c:ptCount val="2"/>
                <c:pt idx="0">
                  <c:v>4.5293996632071147</c:v>
                </c:pt>
                <c:pt idx="1">
                  <c:v>0</c:v>
                </c:pt>
              </c:numCache>
            </c:numRef>
          </c:val>
          <c:extLst>
            <c:ext xmlns:c16="http://schemas.microsoft.com/office/drawing/2014/chart" uri="{C3380CC4-5D6E-409C-BE32-E72D297353CC}">
              <c16:uniqueId val="{00000005-51A9-41F9-B208-56B0DDAA8C94}"/>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2"/>
          <c:order val="0"/>
          <c:tx>
            <c:strRef>
              <c:f>Grafer!$B$102</c:f>
              <c:strCache>
                <c:ptCount val="1"/>
                <c:pt idx="0">
                  <c:v>Elimport (fossilbaseret)</c:v>
                </c:pt>
              </c:strCache>
            </c:strRef>
          </c:tx>
          <c:invertIfNegative val="0"/>
          <c:cat>
            <c:strRef>
              <c:f>Grafer!$C$101:$E$101</c:f>
              <c:strCache>
                <c:ptCount val="3"/>
                <c:pt idx="0">
                  <c:v>2018</c:v>
                </c:pt>
                <c:pt idx="1">
                  <c:v>BAU2030</c:v>
                </c:pt>
                <c:pt idx="2">
                  <c:v>BAU2050</c:v>
                </c:pt>
              </c:strCache>
            </c:strRef>
          </c:cat>
          <c:val>
            <c:numRef>
              <c:f>Grafer!$C$102:$E$102</c:f>
              <c:numCache>
                <c:formatCode>#,##0</c:formatCode>
                <c:ptCount val="3"/>
                <c:pt idx="0">
                  <c:v>20.435576952916406</c:v>
                </c:pt>
                <c:pt idx="1">
                  <c:v>0</c:v>
                </c:pt>
                <c:pt idx="2">
                  <c:v>0</c:v>
                </c:pt>
              </c:numCache>
            </c:numRef>
          </c:val>
          <c:extLst xmlns:c15="http://schemas.microsoft.com/office/drawing/2012/chart">
            <c:ext xmlns:c16="http://schemas.microsoft.com/office/drawing/2014/chart" uri="{C3380CC4-5D6E-409C-BE32-E72D297353CC}">
              <c16:uniqueId val="{00000000-698B-4C00-A56D-FB7C6DCA7407}"/>
            </c:ext>
          </c:extLst>
        </c:ser>
        <c:ser>
          <c:idx val="10"/>
          <c:order val="9"/>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71.532429999999991</c:v>
                </c:pt>
                <c:pt idx="1">
                  <c:v>73.548667590999997</c:v>
                </c:pt>
                <c:pt idx="2">
                  <c:v>70.268807810999988</c:v>
                </c:pt>
              </c:numCache>
            </c:numRef>
          </c:val>
          <c:extLst>
            <c:ext xmlns:c16="http://schemas.microsoft.com/office/drawing/2014/chart" uri="{C3380CC4-5D6E-409C-BE32-E72D297353CC}">
              <c16:uniqueId val="{00000001-698B-4C00-A56D-FB7C6DCA7407}"/>
            </c:ext>
          </c:extLst>
        </c:ser>
        <c:ser>
          <c:idx val="11"/>
          <c:order val="10"/>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0.5</c:v>
                </c:pt>
                <c:pt idx="1">
                  <c:v>-6.9644848000000037E-2</c:v>
                </c:pt>
                <c:pt idx="2">
                  <c:v>-6.9644848000000037E-2</c:v>
                </c:pt>
              </c:numCache>
            </c:numRef>
          </c:val>
          <c:extLst xmlns:c15="http://schemas.microsoft.com/office/drawing/2012/chart">
            <c:ext xmlns:c16="http://schemas.microsoft.com/office/drawing/2014/chart" uri="{C3380CC4-5D6E-409C-BE32-E72D297353CC}">
              <c16:uniqueId val="{00000002-698B-4C00-A56D-FB7C6DCA7407}"/>
            </c:ext>
          </c:extLst>
        </c:ser>
        <c:ser>
          <c:idx val="0"/>
          <c:order val="12"/>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19.05</c:v>
                </c:pt>
                <c:pt idx="1">
                  <c:v>19.0136</c:v>
                </c:pt>
                <c:pt idx="2">
                  <c:v>18.959</c:v>
                </c:pt>
              </c:numCache>
            </c:numRef>
          </c:val>
          <c:extLst xmlns:c15="http://schemas.microsoft.com/office/drawing/2012/chart">
            <c:ext xmlns:c16="http://schemas.microsoft.com/office/drawing/2014/chart" uri="{C3380CC4-5D6E-409C-BE32-E72D297353CC}">
              <c16:uniqueId val="{00000003-698B-4C00-A56D-FB7C6DCA7407}"/>
            </c:ext>
          </c:extLst>
        </c:ser>
        <c:ser>
          <c:idx val="1"/>
          <c:order val="14"/>
          <c:tx>
            <c:strRef>
              <c:f>Grafer!$B$116</c:f>
              <c:strCache>
                <c:ptCount val="1"/>
                <c:pt idx="0">
                  <c:v>Elimport (VE-baseret)</c:v>
                </c:pt>
              </c:strCache>
            </c:strRef>
          </c:tx>
          <c:invertIfNegative val="0"/>
          <c:cat>
            <c:strRef>
              <c:f>Grafer!$C$101:$E$101</c:f>
              <c:strCache>
                <c:ptCount val="3"/>
                <c:pt idx="0">
                  <c:v>2018</c:v>
                </c:pt>
                <c:pt idx="1">
                  <c:v>BAU2030</c:v>
                </c:pt>
                <c:pt idx="2">
                  <c:v>BAU2050</c:v>
                </c:pt>
              </c:strCache>
            </c:strRef>
          </c:cat>
          <c:val>
            <c:numRef>
              <c:f>Grafer!$C$116:$E$116</c:f>
              <c:numCache>
                <c:formatCode>#,##0</c:formatCode>
                <c:ptCount val="3"/>
                <c:pt idx="0">
                  <c:v>16.056524748720033</c:v>
                </c:pt>
                <c:pt idx="1">
                  <c:v>44.480998126055781</c:v>
                </c:pt>
                <c:pt idx="2">
                  <c:v>54.220481603592688</c:v>
                </c:pt>
              </c:numCache>
            </c:numRef>
          </c:val>
          <c:extLst>
            <c:ext xmlns:c16="http://schemas.microsoft.com/office/drawing/2014/chart" uri="{C3380CC4-5D6E-409C-BE32-E72D297353CC}">
              <c16:uniqueId val="{00000004-698B-4C00-A56D-FB7C6DCA7407}"/>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3"/>
                <c:order val="1"/>
                <c:tx>
                  <c:strRef>
                    <c:extLst>
                      <c:ext uri="{02D57815-91ED-43cb-92C2-25804820EDAC}">
                        <c15:formulaRef>
                          <c15:sqref>Grafer!$B$103</c15:sqref>
                        </c15:formulaRef>
                      </c:ext>
                    </c:extLst>
                    <c:strCache>
                      <c:ptCount val="1"/>
                      <c:pt idx="0">
                        <c:v>Kul</c:v>
                      </c:pt>
                    </c:strCache>
                  </c:strRef>
                </c:tx>
                <c:invertIfNegative val="0"/>
                <c:cat>
                  <c:strRef>
                    <c:extLst>
                      <c:ext uri="{02D57815-91ED-43cb-92C2-25804820EDAC}">
                        <c15:formulaRef>
                          <c15:sqref>Grafer!$C$101:$E$101</c15:sqref>
                        </c15:formulaRef>
                      </c:ext>
                    </c:extLst>
                    <c:strCache>
                      <c:ptCount val="3"/>
                      <c:pt idx="0">
                        <c:v>2018</c:v>
                      </c:pt>
                      <c:pt idx="1">
                        <c:v>BAU2030</c:v>
                      </c:pt>
                      <c:pt idx="2">
                        <c:v>BAU2050</c:v>
                      </c:pt>
                    </c:strCache>
                  </c:strRef>
                </c:cat>
                <c:val>
                  <c:numRef>
                    <c:extLst>
                      <c:ext uri="{02D57815-91ED-43cb-92C2-25804820EDAC}">
                        <c15:formulaRef>
                          <c15:sqref>Grafer!$C$103:$E$103</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5-698B-4C00-A56D-FB7C6DCA7407}"/>
                  </c:ext>
                </c:extLst>
              </c15:ser>
            </c15:filteredBarSeries>
            <c15:filteredBarSeries>
              <c15:ser>
                <c:idx val="4"/>
                <c:order val="2"/>
                <c:tx>
                  <c:strRef>
                    <c:extLst xmlns:c15="http://schemas.microsoft.com/office/drawing/2012/chart">
                      <c:ext xmlns:c15="http://schemas.microsoft.com/office/drawing/2012/chart" uri="{02D57815-91ED-43cb-92C2-25804820EDAC}">
                        <c15:formulaRef>
                          <c15:sqref>Grafer!$B$104</c15:sqref>
                        </c15:formulaRef>
                      </c:ext>
                    </c:extLst>
                    <c:strCache>
                      <c:ptCount val="1"/>
                      <c:pt idx="0">
                        <c:v>Naturgas og LPG</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Grafer!$C$104:$E$104</c15:sqref>
                        </c15:formulaRef>
                      </c:ext>
                    </c:extLst>
                    <c:numCache>
                      <c:formatCode>#,##0</c:formatCode>
                      <c:ptCount val="3"/>
                      <c:pt idx="0">
                        <c:v>0.89</c:v>
                      </c:pt>
                      <c:pt idx="1">
                        <c:v>0.89</c:v>
                      </c:pt>
                      <c:pt idx="2">
                        <c:v>0.89</c:v>
                      </c:pt>
                    </c:numCache>
                  </c:numRef>
                </c:val>
                <c:extLst xmlns:c15="http://schemas.microsoft.com/office/drawing/2012/chart">
                  <c:ext xmlns:c16="http://schemas.microsoft.com/office/drawing/2014/chart" uri="{C3380CC4-5D6E-409C-BE32-E72D297353CC}">
                    <c16:uniqueId val="{00000006-698B-4C00-A56D-FB7C6DCA7407}"/>
                  </c:ext>
                </c:extLst>
              </c15:ser>
            </c15:filteredBarSeries>
            <c15:filteredBarSeries>
              <c15:ser>
                <c:idx val="5"/>
                <c:order val="3"/>
                <c:tx>
                  <c:strRef>
                    <c:extLst xmlns:c15="http://schemas.microsoft.com/office/drawing/2012/chart">
                      <c:ext xmlns:c15="http://schemas.microsoft.com/office/drawing/2012/chart" uri="{02D57815-91ED-43cb-92C2-25804820EDAC}">
                        <c15:formulaRef>
                          <c15:sqref>Grafer!$B$105</c15:sqref>
                        </c15:formulaRef>
                      </c:ext>
                    </c:extLst>
                    <c:strCache>
                      <c:ptCount val="1"/>
                      <c:pt idx="0">
                        <c:v>Fuelolie</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Grafer!$C$105:$E$105</c15:sqref>
                        </c15:formulaRef>
                      </c:ext>
                    </c:extLst>
                    <c:numCache>
                      <c:formatCode>#,##0</c:formatCode>
                      <c:ptCount val="3"/>
                      <c:pt idx="0">
                        <c:v>1E-3</c:v>
                      </c:pt>
                      <c:pt idx="1">
                        <c:v>9.8780000000000005E-4</c:v>
                      </c:pt>
                      <c:pt idx="2">
                        <c:v>9.8780000000000005E-4</c:v>
                      </c:pt>
                    </c:numCache>
                  </c:numRef>
                </c:val>
                <c:extLst xmlns:c15="http://schemas.microsoft.com/office/drawing/2012/chart">
                  <c:ext xmlns:c16="http://schemas.microsoft.com/office/drawing/2014/chart" uri="{C3380CC4-5D6E-409C-BE32-E72D297353CC}">
                    <c16:uniqueId val="{00000007-698B-4C00-A56D-FB7C6DCA7407}"/>
                  </c:ext>
                </c:extLst>
              </c15:ser>
            </c15:filteredBarSeries>
            <c15:filteredBarSeries>
              <c15:ser>
                <c:idx val="14"/>
                <c:order val="4"/>
                <c:tx>
                  <c:strRef>
                    <c:extLst xmlns:c15="http://schemas.microsoft.com/office/drawing/2012/chart">
                      <c:ext xmlns:c15="http://schemas.microsoft.com/office/drawing/2012/chart" uri="{02D57815-91ED-43cb-92C2-25804820EDAC}">
                        <c15:formulaRef>
                          <c15:sqref>Grafer!$B$106</c15:sqref>
                        </c15:formulaRef>
                      </c:ext>
                    </c:extLst>
                    <c:strCache>
                      <c:ptCount val="1"/>
                      <c:pt idx="0">
                        <c:v>Brændselsolie/diesel</c:v>
                      </c:pt>
                    </c:strCache>
                  </c:strRef>
                </c:tx>
                <c:spPr>
                  <a:solidFill>
                    <a:srgbClr val="D9AAA9"/>
                  </a:solidFill>
                </c:spPr>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Grafer!$C$106:$E$106</c15:sqref>
                        </c15:formulaRef>
                      </c:ext>
                    </c:extLst>
                    <c:numCache>
                      <c:formatCode>#,##0</c:formatCode>
                      <c:ptCount val="3"/>
                      <c:pt idx="0">
                        <c:v>81.932789999999997</c:v>
                      </c:pt>
                      <c:pt idx="1">
                        <c:v>59.795525647000005</c:v>
                      </c:pt>
                      <c:pt idx="2">
                        <c:v>44.189603589000001</c:v>
                      </c:pt>
                    </c:numCache>
                  </c:numRef>
                </c:val>
                <c:extLst xmlns:c15="http://schemas.microsoft.com/office/drawing/2012/chart">
                  <c:ext xmlns:c16="http://schemas.microsoft.com/office/drawing/2014/chart" uri="{C3380CC4-5D6E-409C-BE32-E72D297353CC}">
                    <c16:uniqueId val="{00000008-698B-4C00-A56D-FB7C6DCA7407}"/>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Grafer!$B$107</c15:sqref>
                        </c15:formulaRef>
                      </c:ext>
                    </c:extLst>
                    <c:strCache>
                      <c:ptCount val="1"/>
                      <c:pt idx="0">
                        <c:v>JP1</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Grafer!$C$107:$E$107</c15:sqref>
                        </c15:formulaRef>
                      </c:ext>
                    </c:extLst>
                    <c:numCache>
                      <c:formatCode>#,##0</c:formatCode>
                      <c:ptCount val="3"/>
                      <c:pt idx="0">
                        <c:v>13.98</c:v>
                      </c:pt>
                      <c:pt idx="1">
                        <c:v>16.310466000000002</c:v>
                      </c:pt>
                      <c:pt idx="2">
                        <c:v>16.310466000000002</c:v>
                      </c:pt>
                    </c:numCache>
                  </c:numRef>
                </c:val>
                <c:extLst xmlns:c15="http://schemas.microsoft.com/office/drawing/2012/chart">
                  <c:ext xmlns:c16="http://schemas.microsoft.com/office/drawing/2014/chart" uri="{C3380CC4-5D6E-409C-BE32-E72D297353CC}">
                    <c16:uniqueId val="{00000009-698B-4C00-A56D-FB7C6DCA7407}"/>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Grafer!$B$108</c15:sqref>
                        </c15:formulaRef>
                      </c:ext>
                    </c:extLst>
                    <c:strCache>
                      <c:ptCount val="1"/>
                      <c:pt idx="0">
                        <c:v>Benzin</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Grafer!$C$108:$E$108</c15:sqref>
                        </c15:formulaRef>
                      </c:ext>
                    </c:extLst>
                    <c:numCache>
                      <c:formatCode>#,##0</c:formatCode>
                      <c:ptCount val="3"/>
                      <c:pt idx="0">
                        <c:v>18.057780000000001</c:v>
                      </c:pt>
                      <c:pt idx="1">
                        <c:v>16.864876500000001</c:v>
                      </c:pt>
                      <c:pt idx="2">
                        <c:v>3.8081600999999998</c:v>
                      </c:pt>
                    </c:numCache>
                  </c:numRef>
                </c:val>
                <c:extLst xmlns:c15="http://schemas.microsoft.com/office/drawing/2012/chart">
                  <c:ext xmlns:c16="http://schemas.microsoft.com/office/drawing/2014/chart" uri="{C3380CC4-5D6E-409C-BE32-E72D297353CC}">
                    <c16:uniqueId val="{0000000A-698B-4C00-A56D-FB7C6DCA7407}"/>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Grafer!$B$109</c15:sqref>
                        </c15:formulaRef>
                      </c:ext>
                    </c:extLst>
                    <c:strCache>
                      <c:ptCount val="1"/>
                      <c:pt idx="0">
                        <c:v>Affald, ikke bionedbrydeligt</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Grafer!$C$109:$E$109</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B-698B-4C00-A56D-FB7C6DCA7407}"/>
                  </c:ext>
                </c:extLst>
              </c15:ser>
            </c15:filteredBarSeries>
            <c15:filteredBarSeries>
              <c15:ser>
                <c:idx val="9"/>
                <c:order val="8"/>
                <c:tx>
                  <c:strRef>
                    <c:extLst xmlns:c15="http://schemas.microsoft.com/office/drawing/2012/chart">
                      <c:ext xmlns:c15="http://schemas.microsoft.com/office/drawing/2012/chart" uri="{02D57815-91ED-43cb-92C2-25804820EDAC}">
                        <c15:formulaRef>
                          <c15:sqref>Grafer!$B$110</c15:sqref>
                        </c15:formulaRef>
                      </c:ext>
                    </c:extLst>
                    <c:strCache>
                      <c:ptCount val="1"/>
                      <c:pt idx="0">
                        <c:v>Affald, bionedbrydeligt</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Grafer!$C$110:$E$110</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C-698B-4C00-A56D-FB7C6DCA7407}"/>
                  </c:ext>
                </c:extLst>
              </c15:ser>
            </c15:filteredBarSeries>
            <c15:filteredBarSeries>
              <c15:ser>
                <c:idx val="12"/>
                <c:order val="11"/>
                <c:tx>
                  <c:strRef>
                    <c:extLst xmlns:c15="http://schemas.microsoft.com/office/drawing/2012/chart">
                      <c:ext xmlns:c15="http://schemas.microsoft.com/office/drawing/2012/chart" uri="{02D57815-91ED-43cb-92C2-25804820EDAC}">
                        <c15:formulaRef>
                          <c15:sqref>Grafer!$B$113</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Grafer!$C$113:$E$113</c15:sqref>
                        </c15:formulaRef>
                      </c:ext>
                    </c:extLst>
                    <c:numCache>
                      <c:formatCode>#,##0</c:formatCode>
                      <c:ptCount val="3"/>
                      <c:pt idx="0">
                        <c:v>0</c:v>
                      </c:pt>
                      <c:pt idx="1">
                        <c:v>0</c:v>
                      </c:pt>
                      <c:pt idx="2">
                        <c:v>0</c:v>
                      </c:pt>
                    </c:numCache>
                  </c:numRef>
                </c:val>
                <c:extLst xmlns:c15="http://schemas.microsoft.com/office/drawing/2012/chart">
                  <c:ext xmlns:c16="http://schemas.microsoft.com/office/drawing/2014/chart" uri="{C3380CC4-5D6E-409C-BE32-E72D297353CC}">
                    <c16:uniqueId val="{0000000D-698B-4C00-A56D-FB7C6DCA7407}"/>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Grafer!$B$115</c15:sqref>
                        </c15:formulaRef>
                      </c:ext>
                    </c:extLst>
                    <c:strCache>
                      <c:ptCount val="1"/>
                      <c:pt idx="0">
                        <c:v>Jordvarme, geotermi, vandkraft mm.</c:v>
                      </c:pt>
                    </c:strCache>
                  </c:strRef>
                </c:tx>
                <c:spPr>
                  <a:solidFill>
                    <a:srgbClr val="C6D6AC"/>
                  </a:solidFill>
                </c:spPr>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Grafer!$C$115:$E$115</c15:sqref>
                        </c15:formulaRef>
                      </c:ext>
                    </c:extLst>
                    <c:numCache>
                      <c:formatCode>#,##0</c:formatCode>
                      <c:ptCount val="3"/>
                      <c:pt idx="0">
                        <c:v>1.0999999999999999</c:v>
                      </c:pt>
                      <c:pt idx="1">
                        <c:v>8.0557999999999996</c:v>
                      </c:pt>
                      <c:pt idx="2">
                        <c:v>10.247</c:v>
                      </c:pt>
                    </c:numCache>
                  </c:numRef>
                </c:val>
                <c:extLst xmlns:c15="http://schemas.microsoft.com/office/drawing/2012/chart">
                  <c:ext xmlns:c16="http://schemas.microsoft.com/office/drawing/2014/chart" uri="{C3380CC4-5D6E-409C-BE32-E72D297353CC}">
                    <c16:uniqueId val="{0000000E-698B-4C00-A56D-FB7C6DCA7407}"/>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2"/>
          <c:order val="0"/>
          <c:tx>
            <c:strRef>
              <c:f>Grafer!$B$120</c:f>
              <c:strCache>
                <c:ptCount val="1"/>
                <c:pt idx="0">
                  <c:v>Fast Biomasse</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Grafer!$C$120:$E$120</c15:sqref>
                  </c15:fullRef>
                </c:ext>
              </c:extLst>
              <c:f>Grafer!$C$120:$D$120</c:f>
              <c:numCache>
                <c:formatCode>#,##0</c:formatCode>
                <c:ptCount val="2"/>
                <c:pt idx="0">
                  <c:v>71.532429999999991</c:v>
                </c:pt>
                <c:pt idx="1">
                  <c:v>73.548667590999997</c:v>
                </c:pt>
              </c:numCache>
            </c:numRef>
          </c:val>
          <c:extLst xmlns:c15="http://schemas.microsoft.com/office/drawing/2012/chart">
            <c:ext xmlns:c16="http://schemas.microsoft.com/office/drawing/2014/chart" uri="{C3380CC4-5D6E-409C-BE32-E72D297353CC}">
              <c16:uniqueId val="{00000000-5540-4877-BEEA-213C802264EA}"/>
            </c:ext>
          </c:extLst>
        </c:ser>
        <c:ser>
          <c:idx val="0"/>
          <c:order val="1"/>
          <c:tx>
            <c:strRef>
              <c:f>Grafer!$B$121</c:f>
              <c:strCache>
                <c:ptCount val="1"/>
                <c:pt idx="0">
                  <c:v>Biogas</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Grafer!$C$121:$E$121</c15:sqref>
                  </c15:fullRef>
                </c:ext>
              </c:extLst>
              <c:f>Grafer!$C$121:$D$121</c:f>
              <c:numCache>
                <c:formatCode>#,##0</c:formatCode>
                <c:ptCount val="2"/>
                <c:pt idx="0">
                  <c:v>0</c:v>
                </c:pt>
                <c:pt idx="1">
                  <c:v>0</c:v>
                </c:pt>
              </c:numCache>
            </c:numRef>
          </c:val>
          <c:extLst>
            <c:ext xmlns:c16="http://schemas.microsoft.com/office/drawing/2014/chart" uri="{C3380CC4-5D6E-409C-BE32-E72D297353CC}">
              <c16:uniqueId val="{00000001-5540-4877-BEEA-213C802264EA}"/>
            </c:ext>
          </c:extLst>
        </c:ser>
        <c:ser>
          <c:idx val="1"/>
          <c:order val="2"/>
          <c:tx>
            <c:strRef>
              <c:f>Grafer!$B$122</c:f>
              <c:strCache>
                <c:ptCount val="1"/>
                <c:pt idx="0">
                  <c:v>Affald</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Grafer!$C$122:$E$122</c15:sqref>
                  </c15:fullRef>
                </c:ext>
              </c:extLst>
              <c:f>Grafer!$C$122:$D$122</c:f>
              <c:numCache>
                <c:formatCode>#,##0</c:formatCode>
                <c:ptCount val="2"/>
                <c:pt idx="0">
                  <c:v>0</c:v>
                </c:pt>
                <c:pt idx="1">
                  <c:v>0</c:v>
                </c:pt>
              </c:numCache>
            </c:numRef>
          </c:val>
          <c:extLst>
            <c:ext xmlns:c16="http://schemas.microsoft.com/office/drawing/2014/chart" uri="{C3380CC4-5D6E-409C-BE32-E72D297353CC}">
              <c16:uniqueId val="{00000002-5540-4877-BEEA-213C802264EA}"/>
            </c:ext>
          </c:extLst>
        </c:ser>
        <c:ser>
          <c:idx val="3"/>
          <c:order val="3"/>
          <c:tx>
            <c:strRef>
              <c:f>Grafer!$B$123</c:f>
              <c:strCache>
                <c:ptCount val="1"/>
                <c:pt idx="0">
                  <c:v>Olie og gas</c:v>
                </c:pt>
              </c:strCache>
            </c:strRef>
          </c:tx>
          <c:invertIfNegative val="0"/>
          <c:cat>
            <c:strRef>
              <c:extLst>
                <c:ext xmlns:c15="http://schemas.microsoft.com/office/drawing/2012/chart" uri="{02D57815-91ED-43cb-92C2-25804820EDAC}">
                  <c15:fullRef>
                    <c15:sqref>Grafer!$C$101:$E$101</c15:sqref>
                  </c15:fullRef>
                </c:ext>
              </c:extLst>
              <c:f>Grafer!$C$101:$D$101</c:f>
              <c:strCache>
                <c:ptCount val="2"/>
                <c:pt idx="0">
                  <c:v>2018</c:v>
                </c:pt>
                <c:pt idx="1">
                  <c:v>BAU2030</c:v>
                </c:pt>
              </c:strCache>
            </c:strRef>
          </c:cat>
          <c:val>
            <c:numRef>
              <c:extLst>
                <c:ext xmlns:c15="http://schemas.microsoft.com/office/drawing/2012/chart" uri="{02D57815-91ED-43cb-92C2-25804820EDAC}">
                  <c15:fullRef>
                    <c15:sqref>Grafer!$C$123:$E$123</c15:sqref>
                  </c15:fullRef>
                </c:ext>
              </c:extLst>
              <c:f>Grafer!$C$123:$D$123</c:f>
              <c:numCache>
                <c:formatCode>#,##0</c:formatCode>
                <c:ptCount val="2"/>
                <c:pt idx="0">
                  <c:v>114.86157</c:v>
                </c:pt>
                <c:pt idx="1">
                  <c:v>93.861855947000009</c:v>
                </c:pt>
              </c:numCache>
            </c:numRef>
          </c:val>
          <c:extLst>
            <c:ext xmlns:c16="http://schemas.microsoft.com/office/drawing/2014/chart" uri="{C3380CC4-5D6E-409C-BE32-E72D297353CC}">
              <c16:uniqueId val="{00000003-5540-4877-BEEA-213C802264EA}"/>
            </c:ext>
          </c:extLst>
        </c:ser>
        <c:dLbls>
          <c:showLegendKey val="0"/>
          <c:showVal val="0"/>
          <c:showCatName val="0"/>
          <c:showSerName val="0"/>
          <c:showPercent val="0"/>
          <c:showBubbleSize val="0"/>
        </c:dLbls>
        <c:gapWidth val="150"/>
        <c:overlap val="100"/>
        <c:axId val="728089656"/>
        <c:axId val="728088480"/>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'Landbrug + Sammenfatning'!$A$4</c:f>
              <c:strCache>
                <c:ptCount val="1"/>
                <c:pt idx="0">
                  <c:v>Planteavl</c:v>
                </c:pt>
              </c:strCache>
            </c:strRef>
          </c:tx>
          <c:invertIfNegative val="0"/>
          <c:cat>
            <c:strRef>
              <c:extLst>
                <c:ext xmlns:c15="http://schemas.microsoft.com/office/drawing/2012/chart" uri="{02D57815-91ED-43cb-92C2-25804820EDAC}">
                  <c15:fullRef>
                    <c15:sqref>'Landbrug + Sammenfatning'!$B$3:$E$3</c15:sqref>
                  </c15:fullRef>
                </c:ext>
              </c:extLst>
              <c:f>'Landbrug + Sammenfatning'!$C$3:$D$3</c:f>
              <c:strCache>
                <c:ptCount val="2"/>
                <c:pt idx="0">
                  <c:v>2018</c:v>
                </c:pt>
                <c:pt idx="1">
                  <c:v>BAU 2030</c:v>
                </c:pt>
              </c:strCache>
            </c:strRef>
          </c:cat>
          <c:val>
            <c:numRef>
              <c:extLst>
                <c:ext xmlns:c15="http://schemas.microsoft.com/office/drawing/2012/chart" uri="{02D57815-91ED-43cb-92C2-25804820EDAC}">
                  <c15:fullRef>
                    <c15:sqref>'Landbrug + Sammenfatning'!$B$4:$E$4</c15:sqref>
                  </c15:fullRef>
                </c:ext>
              </c:extLst>
              <c:f>'Landbrug + Sammenfatning'!$C$4:$D$4</c:f>
              <c:numCache>
                <c:formatCode>0</c:formatCode>
                <c:ptCount val="2"/>
                <c:pt idx="0">
                  <c:v>4.2073434395136182</c:v>
                </c:pt>
                <c:pt idx="1">
                  <c:v>4.2073434395136182</c:v>
                </c:pt>
              </c:numCache>
            </c:numRef>
          </c:val>
          <c:extLst>
            <c:ext xmlns:c16="http://schemas.microsoft.com/office/drawing/2014/chart" uri="{C3380CC4-5D6E-409C-BE32-E72D297353CC}">
              <c16:uniqueId val="{00000000-49A8-4B0C-8604-D720FC957502}"/>
            </c:ext>
          </c:extLst>
        </c:ser>
        <c:ser>
          <c:idx val="1"/>
          <c:order val="1"/>
          <c:tx>
            <c:strRef>
              <c:f>'Landbrug + Sammenfatning'!$A$5</c:f>
              <c:strCache>
                <c:ptCount val="1"/>
                <c:pt idx="0">
                  <c:v>Dyrehold</c:v>
                </c:pt>
              </c:strCache>
            </c:strRef>
          </c:tx>
          <c:invertIfNegative val="0"/>
          <c:cat>
            <c:strRef>
              <c:extLst>
                <c:ext xmlns:c15="http://schemas.microsoft.com/office/drawing/2012/chart" uri="{02D57815-91ED-43cb-92C2-25804820EDAC}">
                  <c15:fullRef>
                    <c15:sqref>'Landbrug + Sammenfatning'!$B$3:$E$3</c15:sqref>
                  </c15:fullRef>
                </c:ext>
              </c:extLst>
              <c:f>'Landbrug + Sammenfatning'!$C$3:$D$3</c:f>
              <c:strCache>
                <c:ptCount val="2"/>
                <c:pt idx="0">
                  <c:v>2018</c:v>
                </c:pt>
                <c:pt idx="1">
                  <c:v>BAU 2030</c:v>
                </c:pt>
              </c:strCache>
            </c:strRef>
          </c:cat>
          <c:val>
            <c:numRef>
              <c:extLst>
                <c:ext xmlns:c15="http://schemas.microsoft.com/office/drawing/2012/chart" uri="{02D57815-91ED-43cb-92C2-25804820EDAC}">
                  <c15:fullRef>
                    <c15:sqref>'Landbrug + Sammenfatning'!$B$5:$E$5</c15:sqref>
                  </c15:fullRef>
                </c:ext>
              </c:extLst>
              <c:f>'Landbrug + Sammenfatning'!$C$5:$D$5</c:f>
              <c:numCache>
                <c:formatCode>0</c:formatCode>
                <c:ptCount val="2"/>
                <c:pt idx="0">
                  <c:v>6.0239108015585296</c:v>
                </c:pt>
                <c:pt idx="1">
                  <c:v>5.4195032550127724</c:v>
                </c:pt>
              </c:numCache>
            </c:numRef>
          </c:val>
          <c:extLst>
            <c:ext xmlns:c16="http://schemas.microsoft.com/office/drawing/2014/chart" uri="{C3380CC4-5D6E-409C-BE32-E72D297353CC}">
              <c16:uniqueId val="{00000001-49A8-4B0C-8604-D720FC957502}"/>
            </c:ext>
          </c:extLst>
        </c:ser>
        <c:ser>
          <c:idx val="2"/>
          <c:order val="2"/>
          <c:tx>
            <c:strRef>
              <c:f>'Landbrug + Sammenfatning'!$A$7</c:f>
              <c:strCache>
                <c:ptCount val="1"/>
                <c:pt idx="0">
                  <c:v>Arealanvendelse</c:v>
                </c:pt>
              </c:strCache>
            </c:strRef>
          </c:tx>
          <c:invertIfNegative val="0"/>
          <c:cat>
            <c:strRef>
              <c:extLst>
                <c:ext xmlns:c15="http://schemas.microsoft.com/office/drawing/2012/chart" uri="{02D57815-91ED-43cb-92C2-25804820EDAC}">
                  <c15:fullRef>
                    <c15:sqref>'Landbrug + Sammenfatning'!$B$3:$E$3</c15:sqref>
                  </c15:fullRef>
                </c:ext>
              </c:extLst>
              <c:f>'Landbrug + Sammenfatning'!$C$3:$D$3</c:f>
              <c:strCache>
                <c:ptCount val="2"/>
                <c:pt idx="0">
                  <c:v>2018</c:v>
                </c:pt>
                <c:pt idx="1">
                  <c:v>BAU 2030</c:v>
                </c:pt>
              </c:strCache>
            </c:strRef>
          </c:cat>
          <c:val>
            <c:numRef>
              <c:extLst>
                <c:ext xmlns:c15="http://schemas.microsoft.com/office/drawing/2012/chart" uri="{02D57815-91ED-43cb-92C2-25804820EDAC}">
                  <c15:fullRef>
                    <c15:sqref>'Landbrug + Sammenfatning'!$B$6:$E$6</c15:sqref>
                  </c15:fullRef>
                </c:ext>
              </c:extLst>
              <c:f>'Landbrug + Sammenfatning'!$C$6:$D$6</c:f>
              <c:numCache>
                <c:formatCode>0</c:formatCode>
                <c:ptCount val="2"/>
                <c:pt idx="0">
                  <c:v>0.2460035113239212</c:v>
                </c:pt>
                <c:pt idx="1">
                  <c:v>0.2460035113239212</c:v>
                </c:pt>
              </c:numCache>
            </c:numRef>
          </c:val>
          <c:extLst>
            <c:ext xmlns:c16="http://schemas.microsoft.com/office/drawing/2014/chart" uri="{C3380CC4-5D6E-409C-BE32-E72D297353CC}">
              <c16:uniqueId val="{00000002-49A8-4B0C-8604-D720FC957502}"/>
            </c:ext>
          </c:extLst>
        </c:ser>
        <c:ser>
          <c:idx val="3"/>
          <c:order val="3"/>
          <c:tx>
            <c:strRef>
              <c:f>'Landbrug + Sammenfatning'!$A$6</c:f>
              <c:strCache>
                <c:ptCount val="1"/>
                <c:pt idx="0">
                  <c:v>Industrielle processer</c:v>
                </c:pt>
              </c:strCache>
            </c:strRef>
          </c:tx>
          <c:invertIfNegative val="0"/>
          <c:cat>
            <c:strRef>
              <c:extLst>
                <c:ext xmlns:c15="http://schemas.microsoft.com/office/drawing/2012/chart" uri="{02D57815-91ED-43cb-92C2-25804820EDAC}">
                  <c15:fullRef>
                    <c15:sqref>'Landbrug + Sammenfatning'!$B$3:$E$3</c15:sqref>
                  </c15:fullRef>
                </c:ext>
              </c:extLst>
              <c:f>'Landbrug + Sammenfatning'!$C$3:$D$3</c:f>
              <c:strCache>
                <c:ptCount val="2"/>
                <c:pt idx="0">
                  <c:v>2018</c:v>
                </c:pt>
                <c:pt idx="1">
                  <c:v>BAU 2030</c:v>
                </c:pt>
              </c:strCache>
            </c:strRef>
          </c:cat>
          <c:val>
            <c:numRef>
              <c:extLst>
                <c:ext xmlns:c15="http://schemas.microsoft.com/office/drawing/2012/chart" uri="{02D57815-91ED-43cb-92C2-25804820EDAC}">
                  <c15:fullRef>
                    <c15:sqref>'Landbrug + Sammenfatning'!$B$7:$E$7</c15:sqref>
                  </c15:fullRef>
                </c:ext>
              </c:extLst>
              <c:f>'Landbrug + Sammenfatning'!$C$7:$D$7</c:f>
              <c:numCache>
                <c:formatCode>0</c:formatCode>
                <c:ptCount val="2"/>
                <c:pt idx="0">
                  <c:v>5.979204924915253</c:v>
                </c:pt>
                <c:pt idx="1">
                  <c:v>5.979204924915253</c:v>
                </c:pt>
              </c:numCache>
            </c:numRef>
          </c:val>
          <c:extLst>
            <c:ext xmlns:c16="http://schemas.microsoft.com/office/drawing/2014/chart" uri="{C3380CC4-5D6E-409C-BE32-E72D297353CC}">
              <c16:uniqueId val="{00000003-49A8-4B0C-8604-D720FC957502}"/>
            </c:ext>
          </c:extLst>
        </c:ser>
        <c:ser>
          <c:idx val="4"/>
          <c:order val="4"/>
          <c:tx>
            <c:strRef>
              <c:f>'Landbrug + Sammenfatning'!$A$8</c:f>
              <c:strCache>
                <c:ptCount val="1"/>
                <c:pt idx="0">
                  <c:v>Affald og spildevand</c:v>
                </c:pt>
              </c:strCache>
            </c:strRef>
          </c:tx>
          <c:invertIfNegative val="0"/>
          <c:cat>
            <c:strRef>
              <c:extLst>
                <c:ext xmlns:c15="http://schemas.microsoft.com/office/drawing/2012/chart" uri="{02D57815-91ED-43cb-92C2-25804820EDAC}">
                  <c15:fullRef>
                    <c15:sqref>'Landbrug + Sammenfatning'!$B$3:$E$3</c15:sqref>
                  </c15:fullRef>
                </c:ext>
              </c:extLst>
              <c:f>'Landbrug + Sammenfatning'!$C$3:$D$3</c:f>
              <c:strCache>
                <c:ptCount val="2"/>
                <c:pt idx="0">
                  <c:v>2018</c:v>
                </c:pt>
                <c:pt idx="1">
                  <c:v>BAU 2030</c:v>
                </c:pt>
              </c:strCache>
            </c:strRef>
          </c:cat>
          <c:val>
            <c:numRef>
              <c:extLst>
                <c:ext xmlns:c15="http://schemas.microsoft.com/office/drawing/2012/chart" uri="{02D57815-91ED-43cb-92C2-25804820EDAC}">
                  <c15:fullRef>
                    <c15:sqref>'Landbrug + Sammenfatning'!$B$8:$E$8</c15:sqref>
                  </c15:fullRef>
                </c:ext>
              </c:extLst>
              <c:f>'Landbrug + Sammenfatning'!$C$8:$D$8</c:f>
              <c:numCache>
                <c:formatCode>0</c:formatCode>
                <c:ptCount val="2"/>
                <c:pt idx="0">
                  <c:v>0.36066197085521962</c:v>
                </c:pt>
                <c:pt idx="1">
                  <c:v>0.31651795702513164</c:v>
                </c:pt>
              </c:numCache>
            </c:numRef>
          </c:val>
          <c:extLst>
            <c:ext xmlns:c16="http://schemas.microsoft.com/office/drawing/2014/chart" uri="{C3380CC4-5D6E-409C-BE32-E72D297353CC}">
              <c16:uniqueId val="{00000004-49A8-4B0C-8604-D720FC957502}"/>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ayout>
        <c:manualLayout>
          <c:xMode val="edge"/>
          <c:yMode val="edge"/>
          <c:x val="0.78425030812589758"/>
          <c:y val="0.3672277658410556"/>
          <c:w val="0.2090288693724357"/>
          <c:h val="0.39477095253193023"/>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'Landbrug + Sammenfatning'!$A$61</c:f>
              <c:strCache>
                <c:ptCount val="1"/>
                <c:pt idx="0">
                  <c:v>Planteavl</c:v>
                </c:pt>
              </c:strCache>
            </c:strRef>
          </c:tx>
          <c:spPr>
            <a:solidFill>
              <a:schemeClr val="accent1"/>
            </a:solidFill>
            <a:ln>
              <a:noFill/>
            </a:ln>
            <a:effectLst/>
          </c:spPr>
          <c:invertIfNegative val="0"/>
          <c:cat>
            <c:strRef>
              <c:f>'Landbrug + Sammenfatning'!$B$60:$E$60</c:f>
              <c:strCache>
                <c:ptCount val="4"/>
                <c:pt idx="0">
                  <c:v>1990</c:v>
                </c:pt>
                <c:pt idx="1">
                  <c:v>2018</c:v>
                </c:pt>
                <c:pt idx="2">
                  <c:v>BAU2030</c:v>
                </c:pt>
                <c:pt idx="3">
                  <c:v>BAU2050</c:v>
                </c:pt>
              </c:strCache>
            </c:strRef>
          </c:cat>
          <c:val>
            <c:numRef>
              <c:f>'Landbrug + Sammenfatning'!$B$61:$E$61</c:f>
              <c:numCache>
                <c:formatCode>0</c:formatCode>
                <c:ptCount val="4"/>
                <c:pt idx="0">
                  <c:v>6.1208741813746057</c:v>
                </c:pt>
                <c:pt idx="1">
                  <c:v>4.2073434395136182</c:v>
                </c:pt>
                <c:pt idx="2">
                  <c:v>4.2073434395136182</c:v>
                </c:pt>
                <c:pt idx="3">
                  <c:v>4.2073434395136182</c:v>
                </c:pt>
              </c:numCache>
            </c:numRef>
          </c:val>
          <c:extLst>
            <c:ext xmlns:c16="http://schemas.microsoft.com/office/drawing/2014/chart" uri="{C3380CC4-5D6E-409C-BE32-E72D297353CC}">
              <c16:uniqueId val="{00000000-F3B0-4535-A7E8-36D5254162F7}"/>
            </c:ext>
          </c:extLst>
        </c:ser>
        <c:ser>
          <c:idx val="1"/>
          <c:order val="1"/>
          <c:tx>
            <c:strRef>
              <c:f>'Landbrug + Sammenfatning'!$A$62</c:f>
              <c:strCache>
                <c:ptCount val="1"/>
                <c:pt idx="0">
                  <c:v>Dyrehold</c:v>
                </c:pt>
              </c:strCache>
            </c:strRef>
          </c:tx>
          <c:spPr>
            <a:solidFill>
              <a:schemeClr val="accent2"/>
            </a:solidFill>
            <a:ln>
              <a:noFill/>
            </a:ln>
            <a:effectLst/>
          </c:spPr>
          <c:invertIfNegative val="0"/>
          <c:cat>
            <c:strRef>
              <c:f>'Landbrug + Sammenfatning'!$B$60:$E$60</c:f>
              <c:strCache>
                <c:ptCount val="4"/>
                <c:pt idx="0">
                  <c:v>1990</c:v>
                </c:pt>
                <c:pt idx="1">
                  <c:v>2018</c:v>
                </c:pt>
                <c:pt idx="2">
                  <c:v>BAU2030</c:v>
                </c:pt>
                <c:pt idx="3">
                  <c:v>BAU2050</c:v>
                </c:pt>
              </c:strCache>
            </c:strRef>
          </c:cat>
          <c:val>
            <c:numRef>
              <c:f>'Landbrug + Sammenfatning'!$B$62:$E$62</c:f>
              <c:numCache>
                <c:formatCode>0</c:formatCode>
                <c:ptCount val="4"/>
                <c:pt idx="0">
                  <c:v>6.1612086008937466</c:v>
                </c:pt>
                <c:pt idx="1">
                  <c:v>6.0239108015585296</c:v>
                </c:pt>
                <c:pt idx="2">
                  <c:v>5.4195032550127724</c:v>
                </c:pt>
                <c:pt idx="3">
                  <c:v>5.4195032550127724</c:v>
                </c:pt>
              </c:numCache>
            </c:numRef>
          </c:val>
          <c:extLst>
            <c:ext xmlns:c16="http://schemas.microsoft.com/office/drawing/2014/chart" uri="{C3380CC4-5D6E-409C-BE32-E72D297353CC}">
              <c16:uniqueId val="{00000001-F3B0-4535-A7E8-36D5254162F7}"/>
            </c:ext>
          </c:extLst>
        </c:ser>
        <c:ser>
          <c:idx val="2"/>
          <c:order val="2"/>
          <c:tx>
            <c:strRef>
              <c:f>'Landbrug + Sammenfatning'!$A$63</c:f>
              <c:strCache>
                <c:ptCount val="1"/>
                <c:pt idx="0">
                  <c:v>Industrielle processer</c:v>
                </c:pt>
              </c:strCache>
            </c:strRef>
          </c:tx>
          <c:spPr>
            <a:solidFill>
              <a:schemeClr val="accent3"/>
            </a:solidFill>
            <a:ln>
              <a:noFill/>
            </a:ln>
            <a:effectLst/>
          </c:spPr>
          <c:invertIfNegative val="0"/>
          <c:cat>
            <c:strRef>
              <c:f>'Landbrug + Sammenfatning'!$B$60:$E$60</c:f>
              <c:strCache>
                <c:ptCount val="4"/>
                <c:pt idx="0">
                  <c:v>1990</c:v>
                </c:pt>
                <c:pt idx="1">
                  <c:v>2018</c:v>
                </c:pt>
                <c:pt idx="2">
                  <c:v>BAU2030</c:v>
                </c:pt>
                <c:pt idx="3">
                  <c:v>BAU2050</c:v>
                </c:pt>
              </c:strCache>
            </c:strRef>
          </c:cat>
          <c:val>
            <c:numRef>
              <c:f>'Landbrug + Sammenfatning'!$B$63:$E$63</c:f>
              <c:numCache>
                <c:formatCode>0</c:formatCode>
                <c:ptCount val="4"/>
                <c:pt idx="0">
                  <c:v>0.26912552338450213</c:v>
                </c:pt>
                <c:pt idx="1">
                  <c:v>0.2460035113239212</c:v>
                </c:pt>
                <c:pt idx="2">
                  <c:v>0.2460035113239212</c:v>
                </c:pt>
                <c:pt idx="3">
                  <c:v>0.2460035113239212</c:v>
                </c:pt>
              </c:numCache>
            </c:numRef>
          </c:val>
          <c:extLst>
            <c:ext xmlns:c16="http://schemas.microsoft.com/office/drawing/2014/chart" uri="{C3380CC4-5D6E-409C-BE32-E72D297353CC}">
              <c16:uniqueId val="{00000002-F3B0-4535-A7E8-36D5254162F7}"/>
            </c:ext>
          </c:extLst>
        </c:ser>
        <c:ser>
          <c:idx val="3"/>
          <c:order val="3"/>
          <c:tx>
            <c:strRef>
              <c:f>'Landbrug + Sammenfatning'!$A$64</c:f>
              <c:strCache>
                <c:ptCount val="1"/>
                <c:pt idx="0">
                  <c:v>Transport</c:v>
                </c:pt>
              </c:strCache>
            </c:strRef>
          </c:tx>
          <c:spPr>
            <a:solidFill>
              <a:schemeClr val="accent4"/>
            </a:solidFill>
            <a:ln>
              <a:noFill/>
            </a:ln>
            <a:effectLst/>
          </c:spPr>
          <c:invertIfNegative val="0"/>
          <c:cat>
            <c:strRef>
              <c:f>'Landbrug + Sammenfatning'!$B$60:$E$60</c:f>
              <c:strCache>
                <c:ptCount val="4"/>
                <c:pt idx="0">
                  <c:v>1990</c:v>
                </c:pt>
                <c:pt idx="1">
                  <c:v>2018</c:v>
                </c:pt>
                <c:pt idx="2">
                  <c:v>BAU2030</c:v>
                </c:pt>
                <c:pt idx="3">
                  <c:v>BAU2050</c:v>
                </c:pt>
              </c:strCache>
            </c:strRef>
          </c:cat>
          <c:val>
            <c:numRef>
              <c:f>'Landbrug + Sammenfatning'!$B$64:$E$64</c:f>
              <c:numCache>
                <c:formatCode>#,##0</c:formatCode>
                <c:ptCount val="4"/>
                <c:pt idx="0">
                  <c:v>5.4696874070448613</c:v>
                </c:pt>
                <c:pt idx="1">
                  <c:v>6.5195312800000007</c:v>
                </c:pt>
                <c:pt idx="2">
                  <c:v>6.2675864320420009</c:v>
                </c:pt>
                <c:pt idx="3">
                  <c:v>4.68929102255</c:v>
                </c:pt>
              </c:numCache>
            </c:numRef>
          </c:val>
          <c:extLst>
            <c:ext xmlns:c16="http://schemas.microsoft.com/office/drawing/2014/chart" uri="{C3380CC4-5D6E-409C-BE32-E72D297353CC}">
              <c16:uniqueId val="{00000003-F3B0-4535-A7E8-36D5254162F7}"/>
            </c:ext>
          </c:extLst>
        </c:ser>
        <c:ser>
          <c:idx val="4"/>
          <c:order val="4"/>
          <c:tx>
            <c:strRef>
              <c:f>'Landbrug + Sammenfatning'!$A$65</c:f>
              <c:strCache>
                <c:ptCount val="1"/>
                <c:pt idx="0">
                  <c:v>Øvrig energisektor</c:v>
                </c:pt>
              </c:strCache>
            </c:strRef>
          </c:tx>
          <c:spPr>
            <a:solidFill>
              <a:schemeClr val="accent5"/>
            </a:solidFill>
            <a:ln>
              <a:noFill/>
            </a:ln>
            <a:effectLst/>
          </c:spPr>
          <c:invertIfNegative val="0"/>
          <c:cat>
            <c:strRef>
              <c:f>'Landbrug + Sammenfatning'!$B$60:$E$60</c:f>
              <c:strCache>
                <c:ptCount val="4"/>
                <c:pt idx="0">
                  <c:v>1990</c:v>
                </c:pt>
                <c:pt idx="1">
                  <c:v>2018</c:v>
                </c:pt>
                <c:pt idx="2">
                  <c:v>BAU2030</c:v>
                </c:pt>
                <c:pt idx="3">
                  <c:v>BAU2050</c:v>
                </c:pt>
              </c:strCache>
            </c:strRef>
          </c:cat>
          <c:val>
            <c:numRef>
              <c:f>'Landbrug + Sammenfatning'!$B$65:$E$65</c:f>
              <c:numCache>
                <c:formatCode>#,##0</c:formatCode>
                <c:ptCount val="4"/>
                <c:pt idx="0">
                  <c:v>18.623561811792502</c:v>
                </c:pt>
                <c:pt idx="1">
                  <c:v>6.4539106632071146</c:v>
                </c:pt>
                <c:pt idx="2">
                  <c:v>0.61900891999999996</c:v>
                </c:pt>
                <c:pt idx="3">
                  <c:v>8.9325800000000011E-2</c:v>
                </c:pt>
              </c:numCache>
            </c:numRef>
          </c:val>
          <c:extLst>
            <c:ext xmlns:c16="http://schemas.microsoft.com/office/drawing/2014/chart" uri="{C3380CC4-5D6E-409C-BE32-E72D297353CC}">
              <c16:uniqueId val="{00000004-F3B0-4535-A7E8-36D5254162F7}"/>
            </c:ext>
          </c:extLst>
        </c:ser>
        <c:ser>
          <c:idx val="5"/>
          <c:order val="5"/>
          <c:tx>
            <c:strRef>
              <c:f>'Landbrug + Sammenfatning'!$A$66</c:f>
              <c:strCache>
                <c:ptCount val="1"/>
                <c:pt idx="0">
                  <c:v>Arealanvendelse</c:v>
                </c:pt>
              </c:strCache>
            </c:strRef>
          </c:tx>
          <c:spPr>
            <a:solidFill>
              <a:schemeClr val="accent6"/>
            </a:solidFill>
            <a:ln>
              <a:noFill/>
            </a:ln>
            <a:effectLst/>
          </c:spPr>
          <c:invertIfNegative val="0"/>
          <c:cat>
            <c:strRef>
              <c:f>'Landbrug + Sammenfatning'!$B$60:$E$60</c:f>
              <c:strCache>
                <c:ptCount val="4"/>
                <c:pt idx="0">
                  <c:v>1990</c:v>
                </c:pt>
                <c:pt idx="1">
                  <c:v>2018</c:v>
                </c:pt>
                <c:pt idx="2">
                  <c:v>BAU2030</c:v>
                </c:pt>
                <c:pt idx="3">
                  <c:v>BAU2050</c:v>
                </c:pt>
              </c:strCache>
            </c:strRef>
          </c:cat>
          <c:val>
            <c:numRef>
              <c:f>'Landbrug + Sammenfatning'!$B$66:$E$66</c:f>
              <c:numCache>
                <c:formatCode>0</c:formatCode>
                <c:ptCount val="4"/>
                <c:pt idx="0">
                  <c:v>5.84582608168036</c:v>
                </c:pt>
                <c:pt idx="1">
                  <c:v>5.979204924915253</c:v>
                </c:pt>
                <c:pt idx="2">
                  <c:v>5.979204924915253</c:v>
                </c:pt>
                <c:pt idx="3">
                  <c:v>5.979204924915253</c:v>
                </c:pt>
              </c:numCache>
            </c:numRef>
          </c:val>
          <c:extLst>
            <c:ext xmlns:c16="http://schemas.microsoft.com/office/drawing/2014/chart" uri="{C3380CC4-5D6E-409C-BE32-E72D297353CC}">
              <c16:uniqueId val="{00000005-F3B0-4535-A7E8-36D5254162F7}"/>
            </c:ext>
          </c:extLst>
        </c:ser>
        <c:ser>
          <c:idx val="6"/>
          <c:order val="6"/>
          <c:tx>
            <c:strRef>
              <c:f>'Landbrug + Sammenfatning'!$A$67</c:f>
              <c:strCache>
                <c:ptCount val="1"/>
                <c:pt idx="0">
                  <c:v>Affald, spildevand og tilfældige brande</c:v>
                </c:pt>
              </c:strCache>
            </c:strRef>
          </c:tx>
          <c:spPr>
            <a:solidFill>
              <a:schemeClr val="accent1">
                <a:lumMod val="60000"/>
              </a:schemeClr>
            </a:solidFill>
            <a:ln>
              <a:noFill/>
            </a:ln>
            <a:effectLst/>
          </c:spPr>
          <c:invertIfNegative val="0"/>
          <c:cat>
            <c:strRef>
              <c:f>'Landbrug + Sammenfatning'!$B$60:$E$60</c:f>
              <c:strCache>
                <c:ptCount val="4"/>
                <c:pt idx="0">
                  <c:v>1990</c:v>
                </c:pt>
                <c:pt idx="1">
                  <c:v>2018</c:v>
                </c:pt>
                <c:pt idx="2">
                  <c:v>BAU2030</c:v>
                </c:pt>
                <c:pt idx="3">
                  <c:v>BAU2050</c:v>
                </c:pt>
              </c:strCache>
            </c:strRef>
          </c:cat>
          <c:val>
            <c:numRef>
              <c:f>'Landbrug + Sammenfatning'!$B$67:$E$67</c:f>
              <c:numCache>
                <c:formatCode>0</c:formatCode>
                <c:ptCount val="4"/>
                <c:pt idx="0">
                  <c:v>0.55590828097913103</c:v>
                </c:pt>
                <c:pt idx="1">
                  <c:v>0.36066197085521962</c:v>
                </c:pt>
                <c:pt idx="2">
                  <c:v>0.31651795702513164</c:v>
                </c:pt>
                <c:pt idx="3">
                  <c:v>0.24588753489699061</c:v>
                </c:pt>
              </c:numCache>
            </c:numRef>
          </c:val>
          <c:extLst>
            <c:ext xmlns:c16="http://schemas.microsoft.com/office/drawing/2014/chart" uri="{C3380CC4-5D6E-409C-BE32-E72D297353CC}">
              <c16:uniqueId val="{00000006-F3B0-4535-A7E8-36D5254162F7}"/>
            </c:ext>
          </c:extLst>
        </c:ser>
        <c:dLbls>
          <c:showLegendKey val="0"/>
          <c:showVal val="0"/>
          <c:showCatName val="0"/>
          <c:showSerName val="0"/>
          <c:showPercent val="0"/>
          <c:showBubbleSize val="0"/>
        </c:dLbls>
        <c:gapWidth val="150"/>
        <c:overlap val="100"/>
        <c:axId val="655150312"/>
        <c:axId val="655152280"/>
      </c:barChart>
      <c:catAx>
        <c:axId val="65515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2280"/>
        <c:crosses val="autoZero"/>
        <c:auto val="1"/>
        <c:lblAlgn val="ctr"/>
        <c:lblOffset val="100"/>
        <c:noMultiLvlLbl val="0"/>
      </c:catAx>
      <c:valAx>
        <c:axId val="655152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0312"/>
        <c:crosses val="autoZero"/>
        <c:crossBetween val="between"/>
      </c:valAx>
      <c:spPr>
        <a:noFill/>
        <a:ln>
          <a:noFill/>
        </a:ln>
        <a:effectLst/>
      </c:spPr>
    </c:plotArea>
    <c:legend>
      <c:legendPos val="b"/>
      <c:layout>
        <c:manualLayout>
          <c:xMode val="edge"/>
          <c:yMode val="edge"/>
          <c:x val="0.69492377822870832"/>
          <c:y val="0.21911110619813493"/>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Grafer!$C$60:$H$60</c:f>
              <c:strCache>
                <c:ptCount val="3"/>
                <c:pt idx="0">
                  <c:v>2018</c:v>
                </c:pt>
                <c:pt idx="1">
                  <c:v>BAU2030</c:v>
                </c:pt>
                <c:pt idx="2">
                  <c:v>BAU2050</c:v>
                </c:pt>
              </c:strCache>
            </c:strRef>
          </c:cat>
          <c:val>
            <c:numRef>
              <c:f>Grafer!$C$61:$H$61</c:f>
              <c:numCache>
                <c:formatCode>_(* #,##0.0_);_(* \(#,##0.0\);_(* "-"??_);_(@_)</c:formatCode>
                <c:ptCount val="6"/>
                <c:pt idx="0">
                  <c:v>44.511658114988094</c:v>
                </c:pt>
                <c:pt idx="1">
                  <c:v>60.815741292581841</c:v>
                </c:pt>
                <c:pt idx="2">
                  <c:v>70.359974176945286</c:v>
                </c:pt>
              </c:numCache>
            </c:numRef>
          </c:val>
          <c:extLst>
            <c:ext xmlns:c16="http://schemas.microsoft.com/office/drawing/2014/chart" uri="{C3380CC4-5D6E-409C-BE32-E72D297353CC}">
              <c16:uniqueId val="{00000000-C8F3-48EE-8C5A-66A37F7804D5}"/>
            </c:ext>
          </c:extLst>
        </c:ser>
        <c:dLbls>
          <c:showLegendKey val="0"/>
          <c:showVal val="1"/>
          <c:showCatName val="0"/>
          <c:showSerName val="0"/>
          <c:showPercent val="0"/>
          <c:showBubbleSize val="0"/>
        </c:dLbls>
        <c:gapWidth val="15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640"/>
        <c:crosses val="autoZero"/>
        <c:auto val="1"/>
        <c:lblAlgn val="ctr"/>
        <c:lblOffset val="100"/>
        <c:noMultiLvlLbl val="0"/>
      </c:catAx>
      <c:valAx>
        <c:axId val="687053640"/>
        <c:scaling>
          <c:orientation val="minMax"/>
          <c:max val="11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'Landbrug + Sammenfatning'!$A$61</c:f>
              <c:strCache>
                <c:ptCount val="1"/>
                <c:pt idx="0">
                  <c:v>Planteavl</c:v>
                </c:pt>
              </c:strCache>
            </c:strRef>
          </c:tx>
          <c:spPr>
            <a:solidFill>
              <a:schemeClr val="accent1"/>
            </a:solidFill>
            <a:ln>
              <a:noFill/>
            </a:ln>
            <a:effectLst/>
          </c:spPr>
          <c:invertIfNegative val="0"/>
          <c:cat>
            <c:strRef>
              <c:extLst>
                <c:ext xmlns:c15="http://schemas.microsoft.com/office/drawing/2012/chart" uri="{02D57815-91ED-43cb-92C2-25804820EDAC}">
                  <c15:fullRef>
                    <c15:sqref>'Landbrug + Sammenfatning'!$B$60:$E$60</c15:sqref>
                  </c15:fullRef>
                </c:ext>
              </c:extLst>
              <c:f>'Landbrug + Sammenfatning'!$B$60:$D$60</c:f>
              <c:strCache>
                <c:ptCount val="3"/>
                <c:pt idx="0">
                  <c:v>1990</c:v>
                </c:pt>
                <c:pt idx="1">
                  <c:v>2018</c:v>
                </c:pt>
                <c:pt idx="2">
                  <c:v>BAU2030</c:v>
                </c:pt>
              </c:strCache>
            </c:strRef>
          </c:cat>
          <c:val>
            <c:numRef>
              <c:extLst>
                <c:ext xmlns:c15="http://schemas.microsoft.com/office/drawing/2012/chart" uri="{02D57815-91ED-43cb-92C2-25804820EDAC}">
                  <c15:fullRef>
                    <c15:sqref>'Landbrug + Sammenfatning'!$B$61:$E$61</c15:sqref>
                  </c15:fullRef>
                </c:ext>
              </c:extLst>
              <c:f>'Landbrug + Sammenfatning'!$B$61:$D$61</c:f>
              <c:numCache>
                <c:formatCode>0</c:formatCode>
                <c:ptCount val="3"/>
                <c:pt idx="0">
                  <c:v>6.1208741813746057</c:v>
                </c:pt>
                <c:pt idx="1">
                  <c:v>4.2073434395136182</c:v>
                </c:pt>
                <c:pt idx="2">
                  <c:v>4.2073434395136182</c:v>
                </c:pt>
              </c:numCache>
            </c:numRef>
          </c:val>
          <c:extLst>
            <c:ext xmlns:c16="http://schemas.microsoft.com/office/drawing/2014/chart" uri="{C3380CC4-5D6E-409C-BE32-E72D297353CC}">
              <c16:uniqueId val="{00000000-D8F2-47F3-9437-875071860216}"/>
            </c:ext>
          </c:extLst>
        </c:ser>
        <c:ser>
          <c:idx val="1"/>
          <c:order val="1"/>
          <c:tx>
            <c:strRef>
              <c:f>'Landbrug + Sammenfatning'!$A$62</c:f>
              <c:strCache>
                <c:ptCount val="1"/>
                <c:pt idx="0">
                  <c:v>Dyrehold</c:v>
                </c:pt>
              </c:strCache>
            </c:strRef>
          </c:tx>
          <c:spPr>
            <a:solidFill>
              <a:schemeClr val="accent2"/>
            </a:solidFill>
            <a:ln>
              <a:noFill/>
            </a:ln>
            <a:effectLst/>
          </c:spPr>
          <c:invertIfNegative val="0"/>
          <c:cat>
            <c:strRef>
              <c:extLst>
                <c:ext xmlns:c15="http://schemas.microsoft.com/office/drawing/2012/chart" uri="{02D57815-91ED-43cb-92C2-25804820EDAC}">
                  <c15:fullRef>
                    <c15:sqref>'Landbrug + Sammenfatning'!$B$60:$E$60</c15:sqref>
                  </c15:fullRef>
                </c:ext>
              </c:extLst>
              <c:f>'Landbrug + Sammenfatning'!$B$60:$D$60</c:f>
              <c:strCache>
                <c:ptCount val="3"/>
                <c:pt idx="0">
                  <c:v>1990</c:v>
                </c:pt>
                <c:pt idx="1">
                  <c:v>2018</c:v>
                </c:pt>
                <c:pt idx="2">
                  <c:v>BAU2030</c:v>
                </c:pt>
              </c:strCache>
            </c:strRef>
          </c:cat>
          <c:val>
            <c:numRef>
              <c:extLst>
                <c:ext xmlns:c15="http://schemas.microsoft.com/office/drawing/2012/chart" uri="{02D57815-91ED-43cb-92C2-25804820EDAC}">
                  <c15:fullRef>
                    <c15:sqref>'Landbrug + Sammenfatning'!$B$62:$E$62</c15:sqref>
                  </c15:fullRef>
                </c:ext>
              </c:extLst>
              <c:f>'Landbrug + Sammenfatning'!$B$62:$D$62</c:f>
              <c:numCache>
                <c:formatCode>0</c:formatCode>
                <c:ptCount val="3"/>
                <c:pt idx="0">
                  <c:v>6.1612086008937466</c:v>
                </c:pt>
                <c:pt idx="1">
                  <c:v>6.0239108015585296</c:v>
                </c:pt>
                <c:pt idx="2">
                  <c:v>5.4195032550127724</c:v>
                </c:pt>
              </c:numCache>
            </c:numRef>
          </c:val>
          <c:extLst>
            <c:ext xmlns:c16="http://schemas.microsoft.com/office/drawing/2014/chart" uri="{C3380CC4-5D6E-409C-BE32-E72D297353CC}">
              <c16:uniqueId val="{00000001-D8F2-47F3-9437-875071860216}"/>
            </c:ext>
          </c:extLst>
        </c:ser>
        <c:ser>
          <c:idx val="2"/>
          <c:order val="2"/>
          <c:tx>
            <c:strRef>
              <c:f>'Landbrug + Sammenfatning'!$A$63</c:f>
              <c:strCache>
                <c:ptCount val="1"/>
                <c:pt idx="0">
                  <c:v>Industrielle processer</c:v>
                </c:pt>
              </c:strCache>
            </c:strRef>
          </c:tx>
          <c:spPr>
            <a:solidFill>
              <a:schemeClr val="accent3"/>
            </a:solidFill>
            <a:ln>
              <a:noFill/>
            </a:ln>
            <a:effectLst/>
          </c:spPr>
          <c:invertIfNegative val="0"/>
          <c:cat>
            <c:strRef>
              <c:extLst>
                <c:ext xmlns:c15="http://schemas.microsoft.com/office/drawing/2012/chart" uri="{02D57815-91ED-43cb-92C2-25804820EDAC}">
                  <c15:fullRef>
                    <c15:sqref>'Landbrug + Sammenfatning'!$B$60:$E$60</c15:sqref>
                  </c15:fullRef>
                </c:ext>
              </c:extLst>
              <c:f>'Landbrug + Sammenfatning'!$B$60:$D$60</c:f>
              <c:strCache>
                <c:ptCount val="3"/>
                <c:pt idx="0">
                  <c:v>1990</c:v>
                </c:pt>
                <c:pt idx="1">
                  <c:v>2018</c:v>
                </c:pt>
                <c:pt idx="2">
                  <c:v>BAU2030</c:v>
                </c:pt>
              </c:strCache>
            </c:strRef>
          </c:cat>
          <c:val>
            <c:numRef>
              <c:extLst>
                <c:ext xmlns:c15="http://schemas.microsoft.com/office/drawing/2012/chart" uri="{02D57815-91ED-43cb-92C2-25804820EDAC}">
                  <c15:fullRef>
                    <c15:sqref>'Landbrug + Sammenfatning'!$B$63:$E$63</c15:sqref>
                  </c15:fullRef>
                </c:ext>
              </c:extLst>
              <c:f>'Landbrug + Sammenfatning'!$B$63:$D$63</c:f>
              <c:numCache>
                <c:formatCode>0</c:formatCode>
                <c:ptCount val="3"/>
                <c:pt idx="0">
                  <c:v>0.26912552338450213</c:v>
                </c:pt>
                <c:pt idx="1">
                  <c:v>0.2460035113239212</c:v>
                </c:pt>
                <c:pt idx="2">
                  <c:v>0.2460035113239212</c:v>
                </c:pt>
              </c:numCache>
            </c:numRef>
          </c:val>
          <c:extLst>
            <c:ext xmlns:c16="http://schemas.microsoft.com/office/drawing/2014/chart" uri="{C3380CC4-5D6E-409C-BE32-E72D297353CC}">
              <c16:uniqueId val="{00000002-D8F2-47F3-9437-875071860216}"/>
            </c:ext>
          </c:extLst>
        </c:ser>
        <c:ser>
          <c:idx val="3"/>
          <c:order val="3"/>
          <c:tx>
            <c:strRef>
              <c:f>'Landbrug + Sammenfatning'!$A$64</c:f>
              <c:strCache>
                <c:ptCount val="1"/>
                <c:pt idx="0">
                  <c:v>Transport</c:v>
                </c:pt>
              </c:strCache>
            </c:strRef>
          </c:tx>
          <c:spPr>
            <a:solidFill>
              <a:schemeClr val="accent4"/>
            </a:solidFill>
            <a:ln>
              <a:noFill/>
            </a:ln>
            <a:effectLst/>
          </c:spPr>
          <c:invertIfNegative val="0"/>
          <c:cat>
            <c:strRef>
              <c:extLst>
                <c:ext xmlns:c15="http://schemas.microsoft.com/office/drawing/2012/chart" uri="{02D57815-91ED-43cb-92C2-25804820EDAC}">
                  <c15:fullRef>
                    <c15:sqref>'Landbrug + Sammenfatning'!$B$60:$E$60</c15:sqref>
                  </c15:fullRef>
                </c:ext>
              </c:extLst>
              <c:f>'Landbrug + Sammenfatning'!$B$60:$D$60</c:f>
              <c:strCache>
                <c:ptCount val="3"/>
                <c:pt idx="0">
                  <c:v>1990</c:v>
                </c:pt>
                <c:pt idx="1">
                  <c:v>2018</c:v>
                </c:pt>
                <c:pt idx="2">
                  <c:v>BAU2030</c:v>
                </c:pt>
              </c:strCache>
            </c:strRef>
          </c:cat>
          <c:val>
            <c:numRef>
              <c:extLst>
                <c:ext xmlns:c15="http://schemas.microsoft.com/office/drawing/2012/chart" uri="{02D57815-91ED-43cb-92C2-25804820EDAC}">
                  <c15:fullRef>
                    <c15:sqref>'Landbrug + Sammenfatning'!$B$64:$E$64</c15:sqref>
                  </c15:fullRef>
                </c:ext>
              </c:extLst>
              <c:f>'Landbrug + Sammenfatning'!$B$64:$D$64</c:f>
              <c:numCache>
                <c:formatCode>#,##0</c:formatCode>
                <c:ptCount val="3"/>
                <c:pt idx="0">
                  <c:v>5.4696874070448613</c:v>
                </c:pt>
                <c:pt idx="1">
                  <c:v>6.5195312800000007</c:v>
                </c:pt>
                <c:pt idx="2">
                  <c:v>6.2675864320420009</c:v>
                </c:pt>
              </c:numCache>
            </c:numRef>
          </c:val>
          <c:extLst>
            <c:ext xmlns:c16="http://schemas.microsoft.com/office/drawing/2014/chart" uri="{C3380CC4-5D6E-409C-BE32-E72D297353CC}">
              <c16:uniqueId val="{00000003-D8F2-47F3-9437-875071860216}"/>
            </c:ext>
          </c:extLst>
        </c:ser>
        <c:ser>
          <c:idx val="4"/>
          <c:order val="4"/>
          <c:tx>
            <c:strRef>
              <c:f>'Landbrug + Sammenfatning'!$A$65</c:f>
              <c:strCache>
                <c:ptCount val="1"/>
                <c:pt idx="0">
                  <c:v>Øvrig energisektor</c:v>
                </c:pt>
              </c:strCache>
            </c:strRef>
          </c:tx>
          <c:spPr>
            <a:solidFill>
              <a:schemeClr val="accent5"/>
            </a:solidFill>
            <a:ln>
              <a:noFill/>
            </a:ln>
            <a:effectLst/>
          </c:spPr>
          <c:invertIfNegative val="0"/>
          <c:cat>
            <c:strRef>
              <c:extLst>
                <c:ext xmlns:c15="http://schemas.microsoft.com/office/drawing/2012/chart" uri="{02D57815-91ED-43cb-92C2-25804820EDAC}">
                  <c15:fullRef>
                    <c15:sqref>'Landbrug + Sammenfatning'!$B$60:$E$60</c15:sqref>
                  </c15:fullRef>
                </c:ext>
              </c:extLst>
              <c:f>'Landbrug + Sammenfatning'!$B$60:$D$60</c:f>
              <c:strCache>
                <c:ptCount val="3"/>
                <c:pt idx="0">
                  <c:v>1990</c:v>
                </c:pt>
                <c:pt idx="1">
                  <c:v>2018</c:v>
                </c:pt>
                <c:pt idx="2">
                  <c:v>BAU2030</c:v>
                </c:pt>
              </c:strCache>
            </c:strRef>
          </c:cat>
          <c:val>
            <c:numRef>
              <c:extLst>
                <c:ext xmlns:c15="http://schemas.microsoft.com/office/drawing/2012/chart" uri="{02D57815-91ED-43cb-92C2-25804820EDAC}">
                  <c15:fullRef>
                    <c15:sqref>'Landbrug + Sammenfatning'!$B$65:$E$65</c15:sqref>
                  </c15:fullRef>
                </c:ext>
              </c:extLst>
              <c:f>'Landbrug + Sammenfatning'!$B$65:$D$65</c:f>
              <c:numCache>
                <c:formatCode>#,##0</c:formatCode>
                <c:ptCount val="3"/>
                <c:pt idx="0">
                  <c:v>18.623561811792502</c:v>
                </c:pt>
                <c:pt idx="1">
                  <c:v>6.4539106632071146</c:v>
                </c:pt>
                <c:pt idx="2">
                  <c:v>0.61900891999999996</c:v>
                </c:pt>
              </c:numCache>
            </c:numRef>
          </c:val>
          <c:extLst>
            <c:ext xmlns:c16="http://schemas.microsoft.com/office/drawing/2014/chart" uri="{C3380CC4-5D6E-409C-BE32-E72D297353CC}">
              <c16:uniqueId val="{00000004-D8F2-47F3-9437-875071860216}"/>
            </c:ext>
          </c:extLst>
        </c:ser>
        <c:ser>
          <c:idx val="5"/>
          <c:order val="5"/>
          <c:tx>
            <c:strRef>
              <c:f>'Landbrug + Sammenfatning'!$A$66</c:f>
              <c:strCache>
                <c:ptCount val="1"/>
                <c:pt idx="0">
                  <c:v>Arealanvendelse</c:v>
                </c:pt>
              </c:strCache>
            </c:strRef>
          </c:tx>
          <c:spPr>
            <a:solidFill>
              <a:schemeClr val="accent6"/>
            </a:solidFill>
            <a:ln>
              <a:noFill/>
            </a:ln>
            <a:effectLst/>
          </c:spPr>
          <c:invertIfNegative val="0"/>
          <c:cat>
            <c:strRef>
              <c:extLst>
                <c:ext xmlns:c15="http://schemas.microsoft.com/office/drawing/2012/chart" uri="{02D57815-91ED-43cb-92C2-25804820EDAC}">
                  <c15:fullRef>
                    <c15:sqref>'Landbrug + Sammenfatning'!$B$60:$E$60</c15:sqref>
                  </c15:fullRef>
                </c:ext>
              </c:extLst>
              <c:f>'Landbrug + Sammenfatning'!$B$60:$D$60</c:f>
              <c:strCache>
                <c:ptCount val="3"/>
                <c:pt idx="0">
                  <c:v>1990</c:v>
                </c:pt>
                <c:pt idx="1">
                  <c:v>2018</c:v>
                </c:pt>
                <c:pt idx="2">
                  <c:v>BAU2030</c:v>
                </c:pt>
              </c:strCache>
            </c:strRef>
          </c:cat>
          <c:val>
            <c:numRef>
              <c:extLst>
                <c:ext xmlns:c15="http://schemas.microsoft.com/office/drawing/2012/chart" uri="{02D57815-91ED-43cb-92C2-25804820EDAC}">
                  <c15:fullRef>
                    <c15:sqref>'Landbrug + Sammenfatning'!$B$66:$E$66</c15:sqref>
                  </c15:fullRef>
                </c:ext>
              </c:extLst>
              <c:f>'Landbrug + Sammenfatning'!$B$66:$D$66</c:f>
              <c:numCache>
                <c:formatCode>0</c:formatCode>
                <c:ptCount val="3"/>
                <c:pt idx="0">
                  <c:v>5.84582608168036</c:v>
                </c:pt>
                <c:pt idx="1">
                  <c:v>5.979204924915253</c:v>
                </c:pt>
                <c:pt idx="2">
                  <c:v>5.979204924915253</c:v>
                </c:pt>
              </c:numCache>
            </c:numRef>
          </c:val>
          <c:extLst>
            <c:ext xmlns:c16="http://schemas.microsoft.com/office/drawing/2014/chart" uri="{C3380CC4-5D6E-409C-BE32-E72D297353CC}">
              <c16:uniqueId val="{00000005-D8F2-47F3-9437-875071860216}"/>
            </c:ext>
          </c:extLst>
        </c:ser>
        <c:ser>
          <c:idx val="6"/>
          <c:order val="6"/>
          <c:tx>
            <c:strRef>
              <c:f>'Landbrug + Sammenfatning'!$A$67</c:f>
              <c:strCache>
                <c:ptCount val="1"/>
                <c:pt idx="0">
                  <c:v>Affald, spildevand og tilfældige brande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'Landbrug + Sammenfatning'!$B$60:$E$60</c15:sqref>
                  </c15:fullRef>
                </c:ext>
              </c:extLst>
              <c:f>'Landbrug + Sammenfatning'!$B$60:$D$60</c:f>
              <c:strCache>
                <c:ptCount val="3"/>
                <c:pt idx="0">
                  <c:v>1990</c:v>
                </c:pt>
                <c:pt idx="1">
                  <c:v>2018</c:v>
                </c:pt>
                <c:pt idx="2">
                  <c:v>BAU2030</c:v>
                </c:pt>
              </c:strCache>
            </c:strRef>
          </c:cat>
          <c:val>
            <c:numRef>
              <c:extLst>
                <c:ext xmlns:c15="http://schemas.microsoft.com/office/drawing/2012/chart" uri="{02D57815-91ED-43cb-92C2-25804820EDAC}">
                  <c15:fullRef>
                    <c15:sqref>'Landbrug + Sammenfatning'!$B$67:$E$67</c15:sqref>
                  </c15:fullRef>
                </c:ext>
              </c:extLst>
              <c:f>'Landbrug + Sammenfatning'!$B$67:$D$67</c:f>
              <c:numCache>
                <c:formatCode>0</c:formatCode>
                <c:ptCount val="3"/>
                <c:pt idx="0">
                  <c:v>0.55590828097913103</c:v>
                </c:pt>
                <c:pt idx="1">
                  <c:v>0.36066197085521962</c:v>
                </c:pt>
                <c:pt idx="2">
                  <c:v>0.31651795702513164</c:v>
                </c:pt>
              </c:numCache>
            </c:numRef>
          </c:val>
          <c:extLst>
            <c:ext xmlns:c16="http://schemas.microsoft.com/office/drawing/2014/chart" uri="{C3380CC4-5D6E-409C-BE32-E72D297353CC}">
              <c16:uniqueId val="{00000006-D8F2-47F3-9437-875071860216}"/>
            </c:ext>
          </c:extLst>
        </c:ser>
        <c:dLbls>
          <c:showLegendKey val="0"/>
          <c:showVal val="0"/>
          <c:showCatName val="0"/>
          <c:showSerName val="0"/>
          <c:showPercent val="0"/>
          <c:showBubbleSize val="0"/>
        </c:dLbls>
        <c:gapWidth val="150"/>
        <c:overlap val="100"/>
        <c:axId val="655150312"/>
        <c:axId val="655152280"/>
      </c:barChart>
      <c:catAx>
        <c:axId val="65515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2280"/>
        <c:crosses val="autoZero"/>
        <c:auto val="1"/>
        <c:lblAlgn val="ctr"/>
        <c:lblOffset val="100"/>
        <c:noMultiLvlLbl val="0"/>
      </c:catAx>
      <c:valAx>
        <c:axId val="655152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0312"/>
        <c:crosses val="autoZero"/>
        <c:crossBetween val="between"/>
      </c:valAx>
      <c:spPr>
        <a:noFill/>
        <a:ln>
          <a:noFill/>
        </a:ln>
        <a:effectLst/>
      </c:spPr>
    </c:plotArea>
    <c:legend>
      <c:legendPos val="b"/>
      <c:layout>
        <c:manualLayout>
          <c:xMode val="edge"/>
          <c:yMode val="edge"/>
          <c:x val="0.69492377822870832"/>
          <c:y val="0.21911110619813493"/>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'Landbrug + Sammenfatning'!$A$61</c:f>
              <c:strCache>
                <c:ptCount val="1"/>
                <c:pt idx="0">
                  <c:v>Planteavl</c:v>
                </c:pt>
              </c:strCache>
            </c:strRef>
          </c:tx>
          <c:spPr>
            <a:solidFill>
              <a:schemeClr val="accent1"/>
            </a:solidFill>
            <a:ln>
              <a:noFill/>
            </a:ln>
            <a:effectLst/>
          </c:spPr>
          <c:invertIfNegative val="0"/>
          <c:cat>
            <c:strRef>
              <c:extLst>
                <c:ext xmlns:c15="http://schemas.microsoft.com/office/drawing/2012/chart" uri="{02D57815-91ED-43cb-92C2-25804820EDAC}">
                  <c15:fullRef>
                    <c15:sqref>'Landbrug + Sammenfatning'!$B$44:$E$44</c15:sqref>
                  </c15:fullRef>
                </c:ext>
              </c:extLst>
              <c:f>('Landbrug + Sammenfatning'!$B$44:$C$44,'Landbrug + Sammenfatning'!$E$44)</c:f>
              <c:strCache>
                <c:ptCount val="3"/>
                <c:pt idx="0">
                  <c:v>1990</c:v>
                </c:pt>
                <c:pt idx="1">
                  <c:v>2018</c:v>
                </c:pt>
                <c:pt idx="2">
                  <c:v>BAU2050</c:v>
                </c:pt>
              </c:strCache>
            </c:strRef>
          </c:cat>
          <c:val>
            <c:numRef>
              <c:extLst>
                <c:ext xmlns:c15="http://schemas.microsoft.com/office/drawing/2012/chart" uri="{02D57815-91ED-43cb-92C2-25804820EDAC}">
                  <c15:fullRef>
                    <c15:sqref>'Landbrug + Sammenfatning'!$B$61:$E$61</c15:sqref>
                  </c15:fullRef>
                </c:ext>
              </c:extLst>
              <c:f>('Landbrug + Sammenfatning'!$B$61:$C$61,'Landbrug + Sammenfatning'!$E$61)</c:f>
              <c:numCache>
                <c:formatCode>0</c:formatCode>
                <c:ptCount val="3"/>
                <c:pt idx="0">
                  <c:v>6.1208741813746057</c:v>
                </c:pt>
                <c:pt idx="1">
                  <c:v>4.2073434395136182</c:v>
                </c:pt>
                <c:pt idx="2">
                  <c:v>4.2073434395136182</c:v>
                </c:pt>
              </c:numCache>
            </c:numRef>
          </c:val>
          <c:extLst>
            <c:ext xmlns:c16="http://schemas.microsoft.com/office/drawing/2014/chart" uri="{C3380CC4-5D6E-409C-BE32-E72D297353CC}">
              <c16:uniqueId val="{00000000-9788-4066-B1B9-24B66EC0C838}"/>
            </c:ext>
          </c:extLst>
        </c:ser>
        <c:ser>
          <c:idx val="1"/>
          <c:order val="1"/>
          <c:tx>
            <c:strRef>
              <c:f>'Landbrug + Sammenfatning'!$A$62</c:f>
              <c:strCache>
                <c:ptCount val="1"/>
                <c:pt idx="0">
                  <c:v>Dyrehold</c:v>
                </c:pt>
              </c:strCache>
            </c:strRef>
          </c:tx>
          <c:spPr>
            <a:solidFill>
              <a:schemeClr val="accent2"/>
            </a:solidFill>
            <a:ln>
              <a:noFill/>
            </a:ln>
            <a:effectLst/>
          </c:spPr>
          <c:invertIfNegative val="0"/>
          <c:cat>
            <c:strRef>
              <c:extLst>
                <c:ext xmlns:c15="http://schemas.microsoft.com/office/drawing/2012/chart" uri="{02D57815-91ED-43cb-92C2-25804820EDAC}">
                  <c15:fullRef>
                    <c15:sqref>'Landbrug + Sammenfatning'!$B$44:$E$44</c15:sqref>
                  </c15:fullRef>
                </c:ext>
              </c:extLst>
              <c:f>('Landbrug + Sammenfatning'!$B$44:$C$44,'Landbrug + Sammenfatning'!$E$44)</c:f>
              <c:strCache>
                <c:ptCount val="3"/>
                <c:pt idx="0">
                  <c:v>1990</c:v>
                </c:pt>
                <c:pt idx="1">
                  <c:v>2018</c:v>
                </c:pt>
                <c:pt idx="2">
                  <c:v>BAU2050</c:v>
                </c:pt>
              </c:strCache>
            </c:strRef>
          </c:cat>
          <c:val>
            <c:numRef>
              <c:extLst>
                <c:ext xmlns:c15="http://schemas.microsoft.com/office/drawing/2012/chart" uri="{02D57815-91ED-43cb-92C2-25804820EDAC}">
                  <c15:fullRef>
                    <c15:sqref>'Landbrug + Sammenfatning'!$B$62:$E$62</c15:sqref>
                  </c15:fullRef>
                </c:ext>
              </c:extLst>
              <c:f>('Landbrug + Sammenfatning'!$B$62:$C$62,'Landbrug + Sammenfatning'!$E$62)</c:f>
              <c:numCache>
                <c:formatCode>0</c:formatCode>
                <c:ptCount val="3"/>
                <c:pt idx="0">
                  <c:v>6.1612086008937466</c:v>
                </c:pt>
                <c:pt idx="1">
                  <c:v>6.0239108015585296</c:v>
                </c:pt>
                <c:pt idx="2">
                  <c:v>5.4195032550127724</c:v>
                </c:pt>
              </c:numCache>
            </c:numRef>
          </c:val>
          <c:extLst>
            <c:ext xmlns:c16="http://schemas.microsoft.com/office/drawing/2014/chart" uri="{C3380CC4-5D6E-409C-BE32-E72D297353CC}">
              <c16:uniqueId val="{00000001-9788-4066-B1B9-24B66EC0C838}"/>
            </c:ext>
          </c:extLst>
        </c:ser>
        <c:ser>
          <c:idx val="2"/>
          <c:order val="2"/>
          <c:tx>
            <c:strRef>
              <c:f>'Landbrug + Sammenfatning'!$A$63</c:f>
              <c:strCache>
                <c:ptCount val="1"/>
                <c:pt idx="0">
                  <c:v>Industrielle processer</c:v>
                </c:pt>
              </c:strCache>
            </c:strRef>
          </c:tx>
          <c:spPr>
            <a:solidFill>
              <a:schemeClr val="accent3"/>
            </a:solidFill>
            <a:ln>
              <a:noFill/>
            </a:ln>
            <a:effectLst/>
          </c:spPr>
          <c:invertIfNegative val="0"/>
          <c:cat>
            <c:strRef>
              <c:extLst>
                <c:ext xmlns:c15="http://schemas.microsoft.com/office/drawing/2012/chart" uri="{02D57815-91ED-43cb-92C2-25804820EDAC}">
                  <c15:fullRef>
                    <c15:sqref>'Landbrug + Sammenfatning'!$B$44:$E$44</c15:sqref>
                  </c15:fullRef>
                </c:ext>
              </c:extLst>
              <c:f>('Landbrug + Sammenfatning'!$B$44:$C$44,'Landbrug + Sammenfatning'!$E$44)</c:f>
              <c:strCache>
                <c:ptCount val="3"/>
                <c:pt idx="0">
                  <c:v>1990</c:v>
                </c:pt>
                <c:pt idx="1">
                  <c:v>2018</c:v>
                </c:pt>
                <c:pt idx="2">
                  <c:v>BAU2050</c:v>
                </c:pt>
              </c:strCache>
            </c:strRef>
          </c:cat>
          <c:val>
            <c:numRef>
              <c:extLst>
                <c:ext xmlns:c15="http://schemas.microsoft.com/office/drawing/2012/chart" uri="{02D57815-91ED-43cb-92C2-25804820EDAC}">
                  <c15:fullRef>
                    <c15:sqref>'Landbrug + Sammenfatning'!$B$63:$E$63</c15:sqref>
                  </c15:fullRef>
                </c:ext>
              </c:extLst>
              <c:f>('Landbrug + Sammenfatning'!$B$63:$C$63,'Landbrug + Sammenfatning'!$E$63)</c:f>
              <c:numCache>
                <c:formatCode>0</c:formatCode>
                <c:ptCount val="3"/>
                <c:pt idx="0">
                  <c:v>0.26912552338450213</c:v>
                </c:pt>
                <c:pt idx="1">
                  <c:v>0.2460035113239212</c:v>
                </c:pt>
                <c:pt idx="2">
                  <c:v>0.2460035113239212</c:v>
                </c:pt>
              </c:numCache>
            </c:numRef>
          </c:val>
          <c:extLst>
            <c:ext xmlns:c16="http://schemas.microsoft.com/office/drawing/2014/chart" uri="{C3380CC4-5D6E-409C-BE32-E72D297353CC}">
              <c16:uniqueId val="{00000002-9788-4066-B1B9-24B66EC0C838}"/>
            </c:ext>
          </c:extLst>
        </c:ser>
        <c:ser>
          <c:idx val="3"/>
          <c:order val="3"/>
          <c:tx>
            <c:strRef>
              <c:f>'Landbrug + Sammenfatning'!$A$64</c:f>
              <c:strCache>
                <c:ptCount val="1"/>
                <c:pt idx="0">
                  <c:v>Transport</c:v>
                </c:pt>
              </c:strCache>
            </c:strRef>
          </c:tx>
          <c:spPr>
            <a:solidFill>
              <a:schemeClr val="accent4"/>
            </a:solidFill>
            <a:ln>
              <a:noFill/>
            </a:ln>
            <a:effectLst/>
          </c:spPr>
          <c:invertIfNegative val="0"/>
          <c:cat>
            <c:strRef>
              <c:extLst>
                <c:ext xmlns:c15="http://schemas.microsoft.com/office/drawing/2012/chart" uri="{02D57815-91ED-43cb-92C2-25804820EDAC}">
                  <c15:fullRef>
                    <c15:sqref>'Landbrug + Sammenfatning'!$B$44:$E$44</c15:sqref>
                  </c15:fullRef>
                </c:ext>
              </c:extLst>
              <c:f>('Landbrug + Sammenfatning'!$B$44:$C$44,'Landbrug + Sammenfatning'!$E$44)</c:f>
              <c:strCache>
                <c:ptCount val="3"/>
                <c:pt idx="0">
                  <c:v>1990</c:v>
                </c:pt>
                <c:pt idx="1">
                  <c:v>2018</c:v>
                </c:pt>
                <c:pt idx="2">
                  <c:v>BAU2050</c:v>
                </c:pt>
              </c:strCache>
            </c:strRef>
          </c:cat>
          <c:val>
            <c:numRef>
              <c:extLst>
                <c:ext xmlns:c15="http://schemas.microsoft.com/office/drawing/2012/chart" uri="{02D57815-91ED-43cb-92C2-25804820EDAC}">
                  <c15:fullRef>
                    <c15:sqref>'Landbrug + Sammenfatning'!$B$64:$E$64</c15:sqref>
                  </c15:fullRef>
                </c:ext>
              </c:extLst>
              <c:f>('Landbrug + Sammenfatning'!$B$64:$C$64,'Landbrug + Sammenfatning'!$E$64)</c:f>
              <c:numCache>
                <c:formatCode>#,##0</c:formatCode>
                <c:ptCount val="3"/>
                <c:pt idx="0">
                  <c:v>5.4696874070448613</c:v>
                </c:pt>
                <c:pt idx="1">
                  <c:v>6.5195312800000007</c:v>
                </c:pt>
                <c:pt idx="2">
                  <c:v>4.68929102255</c:v>
                </c:pt>
              </c:numCache>
            </c:numRef>
          </c:val>
          <c:extLst>
            <c:ext xmlns:c16="http://schemas.microsoft.com/office/drawing/2014/chart" uri="{C3380CC4-5D6E-409C-BE32-E72D297353CC}">
              <c16:uniqueId val="{00000003-9788-4066-B1B9-24B66EC0C838}"/>
            </c:ext>
          </c:extLst>
        </c:ser>
        <c:ser>
          <c:idx val="4"/>
          <c:order val="4"/>
          <c:tx>
            <c:strRef>
              <c:f>'Landbrug + Sammenfatning'!$A$65</c:f>
              <c:strCache>
                <c:ptCount val="1"/>
                <c:pt idx="0">
                  <c:v>Øvrig energisektor</c:v>
                </c:pt>
              </c:strCache>
            </c:strRef>
          </c:tx>
          <c:spPr>
            <a:solidFill>
              <a:schemeClr val="accent5"/>
            </a:solidFill>
            <a:ln>
              <a:noFill/>
            </a:ln>
            <a:effectLst/>
          </c:spPr>
          <c:invertIfNegative val="0"/>
          <c:cat>
            <c:strRef>
              <c:extLst>
                <c:ext xmlns:c15="http://schemas.microsoft.com/office/drawing/2012/chart" uri="{02D57815-91ED-43cb-92C2-25804820EDAC}">
                  <c15:fullRef>
                    <c15:sqref>'Landbrug + Sammenfatning'!$B$44:$E$44</c15:sqref>
                  </c15:fullRef>
                </c:ext>
              </c:extLst>
              <c:f>('Landbrug + Sammenfatning'!$B$44:$C$44,'Landbrug + Sammenfatning'!$E$44)</c:f>
              <c:strCache>
                <c:ptCount val="3"/>
                <c:pt idx="0">
                  <c:v>1990</c:v>
                </c:pt>
                <c:pt idx="1">
                  <c:v>2018</c:v>
                </c:pt>
                <c:pt idx="2">
                  <c:v>BAU2050</c:v>
                </c:pt>
              </c:strCache>
            </c:strRef>
          </c:cat>
          <c:val>
            <c:numRef>
              <c:extLst>
                <c:ext xmlns:c15="http://schemas.microsoft.com/office/drawing/2012/chart" uri="{02D57815-91ED-43cb-92C2-25804820EDAC}">
                  <c15:fullRef>
                    <c15:sqref>'Landbrug + Sammenfatning'!$B$65:$E$65</c15:sqref>
                  </c15:fullRef>
                </c:ext>
              </c:extLst>
              <c:f>('Landbrug + Sammenfatning'!$B$65:$C$65,'Landbrug + Sammenfatning'!$E$65)</c:f>
              <c:numCache>
                <c:formatCode>#,##0</c:formatCode>
                <c:ptCount val="3"/>
                <c:pt idx="0">
                  <c:v>18.623561811792502</c:v>
                </c:pt>
                <c:pt idx="1">
                  <c:v>6.4539106632071146</c:v>
                </c:pt>
                <c:pt idx="2">
                  <c:v>8.9325800000000011E-2</c:v>
                </c:pt>
              </c:numCache>
            </c:numRef>
          </c:val>
          <c:extLst>
            <c:ext xmlns:c16="http://schemas.microsoft.com/office/drawing/2014/chart" uri="{C3380CC4-5D6E-409C-BE32-E72D297353CC}">
              <c16:uniqueId val="{00000004-9788-4066-B1B9-24B66EC0C838}"/>
            </c:ext>
          </c:extLst>
        </c:ser>
        <c:ser>
          <c:idx val="5"/>
          <c:order val="5"/>
          <c:tx>
            <c:strRef>
              <c:f>'Landbrug + Sammenfatning'!$A$66</c:f>
              <c:strCache>
                <c:ptCount val="1"/>
                <c:pt idx="0">
                  <c:v>Arealanvendelse</c:v>
                </c:pt>
              </c:strCache>
            </c:strRef>
          </c:tx>
          <c:spPr>
            <a:solidFill>
              <a:schemeClr val="accent6"/>
            </a:solidFill>
            <a:ln>
              <a:noFill/>
            </a:ln>
            <a:effectLst/>
          </c:spPr>
          <c:invertIfNegative val="0"/>
          <c:cat>
            <c:strRef>
              <c:extLst>
                <c:ext xmlns:c15="http://schemas.microsoft.com/office/drawing/2012/chart" uri="{02D57815-91ED-43cb-92C2-25804820EDAC}">
                  <c15:fullRef>
                    <c15:sqref>'Landbrug + Sammenfatning'!$B$44:$E$44</c15:sqref>
                  </c15:fullRef>
                </c:ext>
              </c:extLst>
              <c:f>('Landbrug + Sammenfatning'!$B$44:$C$44,'Landbrug + Sammenfatning'!$E$44)</c:f>
              <c:strCache>
                <c:ptCount val="3"/>
                <c:pt idx="0">
                  <c:v>1990</c:v>
                </c:pt>
                <c:pt idx="1">
                  <c:v>2018</c:v>
                </c:pt>
                <c:pt idx="2">
                  <c:v>BAU2050</c:v>
                </c:pt>
              </c:strCache>
            </c:strRef>
          </c:cat>
          <c:val>
            <c:numRef>
              <c:extLst>
                <c:ext xmlns:c15="http://schemas.microsoft.com/office/drawing/2012/chart" uri="{02D57815-91ED-43cb-92C2-25804820EDAC}">
                  <c15:fullRef>
                    <c15:sqref>'Landbrug + Sammenfatning'!$B$66:$E$66</c15:sqref>
                  </c15:fullRef>
                </c:ext>
              </c:extLst>
              <c:f>('Landbrug + Sammenfatning'!$B$66:$C$66,'Landbrug + Sammenfatning'!$E$66)</c:f>
              <c:numCache>
                <c:formatCode>0</c:formatCode>
                <c:ptCount val="3"/>
                <c:pt idx="0">
                  <c:v>5.84582608168036</c:v>
                </c:pt>
                <c:pt idx="1">
                  <c:v>5.979204924915253</c:v>
                </c:pt>
                <c:pt idx="2">
                  <c:v>5.979204924915253</c:v>
                </c:pt>
              </c:numCache>
            </c:numRef>
          </c:val>
          <c:extLst>
            <c:ext xmlns:c16="http://schemas.microsoft.com/office/drawing/2014/chart" uri="{C3380CC4-5D6E-409C-BE32-E72D297353CC}">
              <c16:uniqueId val="{00000005-9788-4066-B1B9-24B66EC0C838}"/>
            </c:ext>
          </c:extLst>
        </c:ser>
        <c:ser>
          <c:idx val="6"/>
          <c:order val="6"/>
          <c:tx>
            <c:strRef>
              <c:f>'Landbrug + Sammenfatning'!$A$67</c:f>
              <c:strCache>
                <c:ptCount val="1"/>
                <c:pt idx="0">
                  <c:v>Affald, spildevand og tilfældige brande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'Landbrug + Sammenfatning'!$B$44:$E$44</c15:sqref>
                  </c15:fullRef>
                </c:ext>
              </c:extLst>
              <c:f>('Landbrug + Sammenfatning'!$B$44:$C$44,'Landbrug + Sammenfatning'!$E$44)</c:f>
              <c:strCache>
                <c:ptCount val="3"/>
                <c:pt idx="0">
                  <c:v>1990</c:v>
                </c:pt>
                <c:pt idx="1">
                  <c:v>2018</c:v>
                </c:pt>
                <c:pt idx="2">
                  <c:v>BAU2050</c:v>
                </c:pt>
              </c:strCache>
            </c:strRef>
          </c:cat>
          <c:val>
            <c:numRef>
              <c:extLst>
                <c:ext xmlns:c15="http://schemas.microsoft.com/office/drawing/2012/chart" uri="{02D57815-91ED-43cb-92C2-25804820EDAC}">
                  <c15:fullRef>
                    <c15:sqref>'Landbrug + Sammenfatning'!$B$67:$E$67</c15:sqref>
                  </c15:fullRef>
                </c:ext>
              </c:extLst>
              <c:f>('Landbrug + Sammenfatning'!$B$67:$C$67,'Landbrug + Sammenfatning'!$E$67)</c:f>
              <c:numCache>
                <c:formatCode>0</c:formatCode>
                <c:ptCount val="3"/>
                <c:pt idx="0">
                  <c:v>0.55590828097913103</c:v>
                </c:pt>
                <c:pt idx="1">
                  <c:v>0.36066197085521962</c:v>
                </c:pt>
                <c:pt idx="2">
                  <c:v>0.24588753489699061</c:v>
                </c:pt>
              </c:numCache>
            </c:numRef>
          </c:val>
          <c:extLst>
            <c:ext xmlns:c16="http://schemas.microsoft.com/office/drawing/2014/chart" uri="{C3380CC4-5D6E-409C-BE32-E72D297353CC}">
              <c16:uniqueId val="{00000006-9788-4066-B1B9-24B66EC0C838}"/>
            </c:ext>
          </c:extLst>
        </c:ser>
        <c:dLbls>
          <c:showLegendKey val="0"/>
          <c:showVal val="0"/>
          <c:showCatName val="0"/>
          <c:showSerName val="0"/>
          <c:showPercent val="0"/>
          <c:showBubbleSize val="0"/>
        </c:dLbls>
        <c:gapWidth val="150"/>
        <c:overlap val="100"/>
        <c:axId val="655150312"/>
        <c:axId val="655152280"/>
      </c:barChart>
      <c:catAx>
        <c:axId val="65515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2280"/>
        <c:crosses val="autoZero"/>
        <c:auto val="1"/>
        <c:lblAlgn val="ctr"/>
        <c:lblOffset val="100"/>
        <c:noMultiLvlLbl val="0"/>
      </c:catAx>
      <c:valAx>
        <c:axId val="655152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0312"/>
        <c:crosses val="autoZero"/>
        <c:crossBetween val="between"/>
      </c:valAx>
      <c:spPr>
        <a:noFill/>
        <a:ln>
          <a:noFill/>
        </a:ln>
        <a:effectLst/>
      </c:spPr>
    </c:plotArea>
    <c:legend>
      <c:legendPos val="b"/>
      <c:layout>
        <c:manualLayout>
          <c:xMode val="edge"/>
          <c:yMode val="edge"/>
          <c:x val="0.69344261778855376"/>
          <c:y val="0.2216268126076115"/>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08148981377322E-2"/>
          <c:y val="8.4287026274529456E-2"/>
          <c:w val="0.64751356080489941"/>
          <c:h val="0.80759809895338064"/>
        </c:manualLayout>
      </c:layout>
      <c:barChart>
        <c:barDir val="col"/>
        <c:grouping val="stacked"/>
        <c:varyColors val="0"/>
        <c:ser>
          <c:idx val="0"/>
          <c:order val="0"/>
          <c:tx>
            <c:strRef>
              <c:f>'Landbrug + Sammenfatning'!$A$45</c:f>
              <c:strCache>
                <c:ptCount val="1"/>
                <c:pt idx="0">
                  <c:v>Individuel opvarmning</c:v>
                </c:pt>
              </c:strCache>
            </c:strRef>
          </c:tx>
          <c:spPr>
            <a:solidFill>
              <a:schemeClr val="accent1"/>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Sammenfatning'!$B$45:$E$45</c:f>
              <c:numCache>
                <c:formatCode>#,##0</c:formatCode>
                <c:ptCount val="4"/>
                <c:pt idx="0">
                  <c:v>6.9463800000000004</c:v>
                </c:pt>
                <c:pt idx="1">
                  <c:v>1.8314999999999999</c:v>
                </c:pt>
                <c:pt idx="2">
                  <c:v>0.52747199999999994</c:v>
                </c:pt>
                <c:pt idx="3">
                  <c:v>0</c:v>
                </c:pt>
              </c:numCache>
            </c:numRef>
          </c:val>
          <c:extLst>
            <c:ext xmlns:c16="http://schemas.microsoft.com/office/drawing/2014/chart" uri="{C3380CC4-5D6E-409C-BE32-E72D297353CC}">
              <c16:uniqueId val="{00000000-0C14-4441-9309-57EF4E8B8312}"/>
            </c:ext>
          </c:extLst>
        </c:ser>
        <c:ser>
          <c:idx val="1"/>
          <c:order val="1"/>
          <c:tx>
            <c:strRef>
              <c:f>'Landbrug + Sammenfatning'!$A$46</c:f>
              <c:strCache>
                <c:ptCount val="1"/>
                <c:pt idx="0">
                  <c:v>Kollektiv el- og varmeforsyning</c:v>
                </c:pt>
              </c:strCache>
            </c:strRef>
          </c:tx>
          <c:spPr>
            <a:solidFill>
              <a:schemeClr val="accent2"/>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Sammenfatning'!$B$46:$E$46</c:f>
              <c:numCache>
                <c:formatCode>#,##0</c:formatCode>
                <c:ptCount val="4"/>
                <c:pt idx="0">
                  <c:v>0</c:v>
                </c:pt>
                <c:pt idx="1">
                  <c:v>3.6851999999999996E-2</c:v>
                </c:pt>
                <c:pt idx="2">
                  <c:v>3.537792E-2</c:v>
                </c:pt>
                <c:pt idx="3">
                  <c:v>3.3166800000000003E-2</c:v>
                </c:pt>
              </c:numCache>
            </c:numRef>
          </c:val>
          <c:extLst>
            <c:ext xmlns:c16="http://schemas.microsoft.com/office/drawing/2014/chart" uri="{C3380CC4-5D6E-409C-BE32-E72D297353CC}">
              <c16:uniqueId val="{00000001-0C14-4441-9309-57EF4E8B8312}"/>
            </c:ext>
          </c:extLst>
        </c:ser>
        <c:ser>
          <c:idx val="2"/>
          <c:order val="2"/>
          <c:tx>
            <c:strRef>
              <c:f>'Landbrug + Sammenfatning'!$A$47</c:f>
              <c:strCache>
                <c:ptCount val="1"/>
                <c:pt idx="0">
                  <c:v>Industri (energi)</c:v>
                </c:pt>
              </c:strCache>
            </c:strRef>
          </c:tx>
          <c:spPr>
            <a:solidFill>
              <a:schemeClr val="accent3"/>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Sammenfatning'!$B$47:$E$47</c:f>
              <c:numCache>
                <c:formatCode>#,##0</c:formatCode>
                <c:ptCount val="4"/>
                <c:pt idx="0">
                  <c:v>0.3086456105054145</c:v>
                </c:pt>
                <c:pt idx="1">
                  <c:v>5.6159000000000001E-2</c:v>
                </c:pt>
                <c:pt idx="2">
                  <c:v>5.6159000000000001E-2</c:v>
                </c:pt>
                <c:pt idx="3">
                  <c:v>5.6159000000000001E-2</c:v>
                </c:pt>
              </c:numCache>
            </c:numRef>
          </c:val>
          <c:extLst>
            <c:ext xmlns:c16="http://schemas.microsoft.com/office/drawing/2014/chart" uri="{C3380CC4-5D6E-409C-BE32-E72D297353CC}">
              <c16:uniqueId val="{00000002-0C14-4441-9309-57EF4E8B8312}"/>
            </c:ext>
          </c:extLst>
        </c:ser>
        <c:ser>
          <c:idx val="3"/>
          <c:order val="3"/>
          <c:tx>
            <c:strRef>
              <c:f>'Landbrug + Sammenfatning'!$A$48</c:f>
              <c:strCache>
                <c:ptCount val="1"/>
                <c:pt idx="0">
                  <c:v>Transport</c:v>
                </c:pt>
              </c:strCache>
            </c:strRef>
          </c:tx>
          <c:spPr>
            <a:solidFill>
              <a:schemeClr val="accent4"/>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Sammenfatning'!$B$48:$E$48</c:f>
              <c:numCache>
                <c:formatCode>#,##0</c:formatCode>
                <c:ptCount val="4"/>
                <c:pt idx="0">
                  <c:v>5.4696874070448613</c:v>
                </c:pt>
                <c:pt idx="1">
                  <c:v>6.5195312800000007</c:v>
                </c:pt>
                <c:pt idx="2">
                  <c:v>6.2675864320420009</c:v>
                </c:pt>
                <c:pt idx="3">
                  <c:v>4.68929102255</c:v>
                </c:pt>
              </c:numCache>
            </c:numRef>
          </c:val>
          <c:extLst>
            <c:ext xmlns:c16="http://schemas.microsoft.com/office/drawing/2014/chart" uri="{C3380CC4-5D6E-409C-BE32-E72D297353CC}">
              <c16:uniqueId val="{00000003-0C14-4441-9309-57EF4E8B8312}"/>
            </c:ext>
          </c:extLst>
        </c:ser>
        <c:ser>
          <c:idx val="4"/>
          <c:order val="4"/>
          <c:tx>
            <c:strRef>
              <c:f>'Landbrug + Sammenfatning'!$A$49</c:f>
              <c:strCache>
                <c:ptCount val="1"/>
                <c:pt idx="0">
                  <c:v>El-import</c:v>
                </c:pt>
              </c:strCache>
            </c:strRef>
          </c:tx>
          <c:spPr>
            <a:solidFill>
              <a:schemeClr val="accent5"/>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Sammenfatning'!$B$49:$E$49</c:f>
              <c:numCache>
                <c:formatCode>#,##0</c:formatCode>
                <c:ptCount val="4"/>
                <c:pt idx="0">
                  <c:v>11.368536201287085</c:v>
                </c:pt>
                <c:pt idx="1">
                  <c:v>4.5293996632071147</c:v>
                </c:pt>
                <c:pt idx="2">
                  <c:v>0</c:v>
                </c:pt>
                <c:pt idx="3">
                  <c:v>0</c:v>
                </c:pt>
              </c:numCache>
            </c:numRef>
          </c:val>
          <c:extLst>
            <c:ext xmlns:c16="http://schemas.microsoft.com/office/drawing/2014/chart" uri="{C3380CC4-5D6E-409C-BE32-E72D297353CC}">
              <c16:uniqueId val="{00000004-0C14-4441-9309-57EF4E8B8312}"/>
            </c:ext>
          </c:extLst>
        </c:ser>
        <c:ser>
          <c:idx val="5"/>
          <c:order val="5"/>
          <c:tx>
            <c:strRef>
              <c:f>'Landbrug + Sammenfatning'!$A$50</c:f>
              <c:strCache>
                <c:ptCount val="1"/>
                <c:pt idx="0">
                  <c:v>Landbrug og arealanvendelse</c:v>
                </c:pt>
              </c:strCache>
            </c:strRef>
          </c:tx>
          <c:spPr>
            <a:solidFill>
              <a:schemeClr val="accent6"/>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Sammenfatning'!$B$50:$E$50</c:f>
              <c:numCache>
                <c:formatCode>#,##0</c:formatCode>
                <c:ptCount val="4"/>
                <c:pt idx="0">
                  <c:v>18.127908863948711</c:v>
                </c:pt>
                <c:pt idx="1">
                  <c:v>16.210459165987402</c:v>
                </c:pt>
                <c:pt idx="2">
                  <c:v>15.606051619441644</c:v>
                </c:pt>
                <c:pt idx="3">
                  <c:v>15.606051619441644</c:v>
                </c:pt>
              </c:numCache>
            </c:numRef>
          </c:val>
          <c:extLst>
            <c:ext xmlns:c16="http://schemas.microsoft.com/office/drawing/2014/chart" uri="{C3380CC4-5D6E-409C-BE32-E72D297353CC}">
              <c16:uniqueId val="{00000005-0C14-4441-9309-57EF4E8B8312}"/>
            </c:ext>
          </c:extLst>
        </c:ser>
        <c:ser>
          <c:idx val="6"/>
          <c:order val="6"/>
          <c:tx>
            <c:strRef>
              <c:f>'Landbrug + Sammenfatning'!$A$51</c:f>
              <c:strCache>
                <c:ptCount val="1"/>
                <c:pt idx="0">
                  <c:v>Industrielle processer</c:v>
                </c:pt>
              </c:strCache>
            </c:strRef>
          </c:tx>
          <c:spPr>
            <a:solidFill>
              <a:schemeClr val="accent1">
                <a:lumMod val="60000"/>
              </a:schemeClr>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Sammenfatning'!$B$51:$E$51</c:f>
              <c:numCache>
                <c:formatCode>#,##0</c:formatCode>
                <c:ptCount val="4"/>
                <c:pt idx="0">
                  <c:v>0.26912552338450213</c:v>
                </c:pt>
                <c:pt idx="1">
                  <c:v>0.2460035113239212</c:v>
                </c:pt>
                <c:pt idx="2">
                  <c:v>0.2460035113239212</c:v>
                </c:pt>
                <c:pt idx="3">
                  <c:v>0.2460035113239212</c:v>
                </c:pt>
              </c:numCache>
            </c:numRef>
          </c:val>
          <c:extLst>
            <c:ext xmlns:c16="http://schemas.microsoft.com/office/drawing/2014/chart" uri="{C3380CC4-5D6E-409C-BE32-E72D297353CC}">
              <c16:uniqueId val="{00000006-0C14-4441-9309-57EF4E8B8312}"/>
            </c:ext>
          </c:extLst>
        </c:ser>
        <c:ser>
          <c:idx val="7"/>
          <c:order val="7"/>
          <c:tx>
            <c:strRef>
              <c:f>'Landbrug + Sammenfatning'!$A$52</c:f>
              <c:strCache>
                <c:ptCount val="1"/>
                <c:pt idx="0">
                  <c:v>Affald og spildevand</c:v>
                </c:pt>
              </c:strCache>
            </c:strRef>
          </c:tx>
          <c:spPr>
            <a:solidFill>
              <a:schemeClr val="accent2">
                <a:lumMod val="60000"/>
              </a:schemeClr>
            </a:solidFill>
            <a:ln>
              <a:noFill/>
            </a:ln>
            <a:effectLst/>
          </c:spPr>
          <c:invertIfNegative val="0"/>
          <c:cat>
            <c:strRef>
              <c:f>'Landbrug + Sammenfatning'!$B$44:$E$44</c:f>
              <c:strCache>
                <c:ptCount val="4"/>
                <c:pt idx="0">
                  <c:v>1990</c:v>
                </c:pt>
                <c:pt idx="1">
                  <c:v>2018</c:v>
                </c:pt>
                <c:pt idx="2">
                  <c:v>BAU2030</c:v>
                </c:pt>
                <c:pt idx="3">
                  <c:v>BAU2050</c:v>
                </c:pt>
              </c:strCache>
            </c:strRef>
          </c:cat>
          <c:val>
            <c:numRef>
              <c:f>'Landbrug + Sammenfatning'!$B$52:$E$52</c:f>
              <c:numCache>
                <c:formatCode>#,##0</c:formatCode>
                <c:ptCount val="4"/>
                <c:pt idx="0">
                  <c:v>0.55590828097913103</c:v>
                </c:pt>
                <c:pt idx="1">
                  <c:v>0.36066197085521962</c:v>
                </c:pt>
                <c:pt idx="2">
                  <c:v>0.31651795702513164</c:v>
                </c:pt>
                <c:pt idx="3">
                  <c:v>0.24588753489699061</c:v>
                </c:pt>
              </c:numCache>
            </c:numRef>
          </c:val>
          <c:extLst>
            <c:ext xmlns:c16="http://schemas.microsoft.com/office/drawing/2014/chart" uri="{C3380CC4-5D6E-409C-BE32-E72D297353CC}">
              <c16:uniqueId val="{00000007-0C14-4441-9309-57EF4E8B8312}"/>
            </c:ext>
          </c:extLst>
        </c:ser>
        <c:dLbls>
          <c:showLegendKey val="0"/>
          <c:showVal val="0"/>
          <c:showCatName val="0"/>
          <c:showSerName val="0"/>
          <c:showPercent val="0"/>
          <c:showBubbleSize val="0"/>
        </c:dLbls>
        <c:gapWidth val="150"/>
        <c:overlap val="100"/>
        <c:axId val="572798984"/>
        <c:axId val="572801608"/>
      </c:barChart>
      <c:catAx>
        <c:axId val="572798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72801608"/>
        <c:crosses val="autoZero"/>
        <c:auto val="1"/>
        <c:lblAlgn val="ctr"/>
        <c:lblOffset val="100"/>
        <c:noMultiLvlLbl val="0"/>
      </c:catAx>
      <c:valAx>
        <c:axId val="572801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72798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'Landbrug + Sammenfatning'!$A$61</c:f>
              <c:strCache>
                <c:ptCount val="1"/>
                <c:pt idx="0">
                  <c:v>Planteavl</c:v>
                </c:pt>
              </c:strCache>
            </c:strRef>
          </c:tx>
          <c:spPr>
            <a:solidFill>
              <a:schemeClr val="accent1"/>
            </a:solidFill>
            <a:ln>
              <a:noFill/>
            </a:ln>
            <a:effectLst/>
          </c:spPr>
          <c:cat>
            <c:strRef>
              <c:f>'Landbrug + Sammenfatning'!$B$60:$E$60</c:f>
              <c:strCache>
                <c:ptCount val="4"/>
                <c:pt idx="0">
                  <c:v>1990</c:v>
                </c:pt>
                <c:pt idx="1">
                  <c:v>2018</c:v>
                </c:pt>
                <c:pt idx="2">
                  <c:v>BAU2030</c:v>
                </c:pt>
                <c:pt idx="3">
                  <c:v>BAU2050</c:v>
                </c:pt>
              </c:strCache>
            </c:strRef>
          </c:cat>
          <c:val>
            <c:numRef>
              <c:f>'Landbrug + Sammenfatning'!$B$61:$E$61</c:f>
              <c:numCache>
                <c:formatCode>0</c:formatCode>
                <c:ptCount val="4"/>
                <c:pt idx="0">
                  <c:v>6.1208741813746057</c:v>
                </c:pt>
                <c:pt idx="1">
                  <c:v>4.2073434395136182</c:v>
                </c:pt>
                <c:pt idx="2">
                  <c:v>4.2073434395136182</c:v>
                </c:pt>
                <c:pt idx="3">
                  <c:v>4.2073434395136182</c:v>
                </c:pt>
              </c:numCache>
            </c:numRef>
          </c:val>
          <c:extLst>
            <c:ext xmlns:c16="http://schemas.microsoft.com/office/drawing/2014/chart" uri="{C3380CC4-5D6E-409C-BE32-E72D297353CC}">
              <c16:uniqueId val="{00000000-623D-478E-9733-5409B2D301BE}"/>
            </c:ext>
          </c:extLst>
        </c:ser>
        <c:ser>
          <c:idx val="1"/>
          <c:order val="1"/>
          <c:tx>
            <c:strRef>
              <c:f>'Landbrug + Sammenfatning'!$A$62</c:f>
              <c:strCache>
                <c:ptCount val="1"/>
                <c:pt idx="0">
                  <c:v>Dyrehold</c:v>
                </c:pt>
              </c:strCache>
            </c:strRef>
          </c:tx>
          <c:spPr>
            <a:solidFill>
              <a:schemeClr val="accent2"/>
            </a:solidFill>
            <a:ln>
              <a:noFill/>
            </a:ln>
            <a:effectLst/>
          </c:spPr>
          <c:cat>
            <c:strRef>
              <c:f>'Landbrug + Sammenfatning'!$B$60:$E$60</c:f>
              <c:strCache>
                <c:ptCount val="4"/>
                <c:pt idx="0">
                  <c:v>1990</c:v>
                </c:pt>
                <c:pt idx="1">
                  <c:v>2018</c:v>
                </c:pt>
                <c:pt idx="2">
                  <c:v>BAU2030</c:v>
                </c:pt>
                <c:pt idx="3">
                  <c:v>BAU2050</c:v>
                </c:pt>
              </c:strCache>
            </c:strRef>
          </c:cat>
          <c:val>
            <c:numRef>
              <c:f>'Landbrug + Sammenfatning'!$B$62:$E$62</c:f>
              <c:numCache>
                <c:formatCode>0</c:formatCode>
                <c:ptCount val="4"/>
                <c:pt idx="0">
                  <c:v>6.1612086008937466</c:v>
                </c:pt>
                <c:pt idx="1">
                  <c:v>6.0239108015585296</c:v>
                </c:pt>
                <c:pt idx="2">
                  <c:v>5.4195032550127724</c:v>
                </c:pt>
                <c:pt idx="3">
                  <c:v>5.4195032550127724</c:v>
                </c:pt>
              </c:numCache>
            </c:numRef>
          </c:val>
          <c:extLst>
            <c:ext xmlns:c16="http://schemas.microsoft.com/office/drawing/2014/chart" uri="{C3380CC4-5D6E-409C-BE32-E72D297353CC}">
              <c16:uniqueId val="{00000001-623D-478E-9733-5409B2D301BE}"/>
            </c:ext>
          </c:extLst>
        </c:ser>
        <c:ser>
          <c:idx val="2"/>
          <c:order val="2"/>
          <c:tx>
            <c:strRef>
              <c:f>'Landbrug + Sammenfatning'!$A$63</c:f>
              <c:strCache>
                <c:ptCount val="1"/>
                <c:pt idx="0">
                  <c:v>Industrielle processer</c:v>
                </c:pt>
              </c:strCache>
            </c:strRef>
          </c:tx>
          <c:spPr>
            <a:solidFill>
              <a:schemeClr val="accent3"/>
            </a:solidFill>
            <a:ln>
              <a:noFill/>
            </a:ln>
            <a:effectLst/>
          </c:spPr>
          <c:cat>
            <c:strRef>
              <c:f>'Landbrug + Sammenfatning'!$B$60:$E$60</c:f>
              <c:strCache>
                <c:ptCount val="4"/>
                <c:pt idx="0">
                  <c:v>1990</c:v>
                </c:pt>
                <c:pt idx="1">
                  <c:v>2018</c:v>
                </c:pt>
                <c:pt idx="2">
                  <c:v>BAU2030</c:v>
                </c:pt>
                <c:pt idx="3">
                  <c:v>BAU2050</c:v>
                </c:pt>
              </c:strCache>
            </c:strRef>
          </c:cat>
          <c:val>
            <c:numRef>
              <c:f>'Landbrug + Sammenfatning'!$B$63:$E$63</c:f>
              <c:numCache>
                <c:formatCode>0</c:formatCode>
                <c:ptCount val="4"/>
                <c:pt idx="0">
                  <c:v>0.26912552338450213</c:v>
                </c:pt>
                <c:pt idx="1">
                  <c:v>0.2460035113239212</c:v>
                </c:pt>
                <c:pt idx="2">
                  <c:v>0.2460035113239212</c:v>
                </c:pt>
                <c:pt idx="3">
                  <c:v>0.2460035113239212</c:v>
                </c:pt>
              </c:numCache>
            </c:numRef>
          </c:val>
          <c:extLst>
            <c:ext xmlns:c16="http://schemas.microsoft.com/office/drawing/2014/chart" uri="{C3380CC4-5D6E-409C-BE32-E72D297353CC}">
              <c16:uniqueId val="{00000002-623D-478E-9733-5409B2D301BE}"/>
            </c:ext>
          </c:extLst>
        </c:ser>
        <c:ser>
          <c:idx val="3"/>
          <c:order val="3"/>
          <c:tx>
            <c:strRef>
              <c:f>'Landbrug + Sammenfatning'!$A$64</c:f>
              <c:strCache>
                <c:ptCount val="1"/>
                <c:pt idx="0">
                  <c:v>Transport</c:v>
                </c:pt>
              </c:strCache>
            </c:strRef>
          </c:tx>
          <c:spPr>
            <a:solidFill>
              <a:schemeClr val="accent4"/>
            </a:solidFill>
            <a:ln>
              <a:noFill/>
            </a:ln>
            <a:effectLst/>
          </c:spPr>
          <c:cat>
            <c:strRef>
              <c:f>'Landbrug + Sammenfatning'!$B$60:$E$60</c:f>
              <c:strCache>
                <c:ptCount val="4"/>
                <c:pt idx="0">
                  <c:v>1990</c:v>
                </c:pt>
                <c:pt idx="1">
                  <c:v>2018</c:v>
                </c:pt>
                <c:pt idx="2">
                  <c:v>BAU2030</c:v>
                </c:pt>
                <c:pt idx="3">
                  <c:v>BAU2050</c:v>
                </c:pt>
              </c:strCache>
            </c:strRef>
          </c:cat>
          <c:val>
            <c:numRef>
              <c:f>'Landbrug + Sammenfatning'!$B$64:$E$64</c:f>
              <c:numCache>
                <c:formatCode>#,##0</c:formatCode>
                <c:ptCount val="4"/>
                <c:pt idx="0">
                  <c:v>5.4696874070448613</c:v>
                </c:pt>
                <c:pt idx="1">
                  <c:v>6.5195312800000007</c:v>
                </c:pt>
                <c:pt idx="2">
                  <c:v>6.2675864320420009</c:v>
                </c:pt>
                <c:pt idx="3">
                  <c:v>4.68929102255</c:v>
                </c:pt>
              </c:numCache>
            </c:numRef>
          </c:val>
          <c:extLst>
            <c:ext xmlns:c16="http://schemas.microsoft.com/office/drawing/2014/chart" uri="{C3380CC4-5D6E-409C-BE32-E72D297353CC}">
              <c16:uniqueId val="{00000003-623D-478E-9733-5409B2D301BE}"/>
            </c:ext>
          </c:extLst>
        </c:ser>
        <c:ser>
          <c:idx val="4"/>
          <c:order val="4"/>
          <c:tx>
            <c:strRef>
              <c:f>'Landbrug + Sammenfatning'!$A$65</c:f>
              <c:strCache>
                <c:ptCount val="1"/>
                <c:pt idx="0">
                  <c:v>Øvrig energisektor</c:v>
                </c:pt>
              </c:strCache>
            </c:strRef>
          </c:tx>
          <c:spPr>
            <a:solidFill>
              <a:schemeClr val="accent5"/>
            </a:solidFill>
            <a:ln w="25400">
              <a:noFill/>
            </a:ln>
            <a:effectLst/>
          </c:spPr>
          <c:cat>
            <c:strRef>
              <c:f>'Landbrug + Sammenfatning'!$B$60:$E$60</c:f>
              <c:strCache>
                <c:ptCount val="4"/>
                <c:pt idx="0">
                  <c:v>1990</c:v>
                </c:pt>
                <c:pt idx="1">
                  <c:v>2018</c:v>
                </c:pt>
                <c:pt idx="2">
                  <c:v>BAU2030</c:v>
                </c:pt>
                <c:pt idx="3">
                  <c:v>BAU2050</c:v>
                </c:pt>
              </c:strCache>
            </c:strRef>
          </c:cat>
          <c:val>
            <c:numRef>
              <c:f>'Landbrug + Sammenfatning'!$B$65:$E$65</c:f>
              <c:numCache>
                <c:formatCode>#,##0</c:formatCode>
                <c:ptCount val="4"/>
                <c:pt idx="0">
                  <c:v>18.623561811792502</c:v>
                </c:pt>
                <c:pt idx="1">
                  <c:v>6.4539106632071146</c:v>
                </c:pt>
                <c:pt idx="2">
                  <c:v>0.61900891999999996</c:v>
                </c:pt>
                <c:pt idx="3">
                  <c:v>8.9325800000000011E-2</c:v>
                </c:pt>
              </c:numCache>
            </c:numRef>
          </c:val>
          <c:extLst>
            <c:ext xmlns:c16="http://schemas.microsoft.com/office/drawing/2014/chart" uri="{C3380CC4-5D6E-409C-BE32-E72D297353CC}">
              <c16:uniqueId val="{00000004-623D-478E-9733-5409B2D301BE}"/>
            </c:ext>
          </c:extLst>
        </c:ser>
        <c:ser>
          <c:idx val="5"/>
          <c:order val="5"/>
          <c:tx>
            <c:strRef>
              <c:f>'Landbrug + Sammenfatning'!$A$66</c:f>
              <c:strCache>
                <c:ptCount val="1"/>
                <c:pt idx="0">
                  <c:v>Arealanvendelse</c:v>
                </c:pt>
              </c:strCache>
            </c:strRef>
          </c:tx>
          <c:spPr>
            <a:solidFill>
              <a:schemeClr val="accent6"/>
            </a:solidFill>
            <a:ln w="25400">
              <a:noFill/>
            </a:ln>
            <a:effectLst/>
          </c:spPr>
          <c:cat>
            <c:strRef>
              <c:f>'Landbrug + Sammenfatning'!$B$60:$E$60</c:f>
              <c:strCache>
                <c:ptCount val="4"/>
                <c:pt idx="0">
                  <c:v>1990</c:v>
                </c:pt>
                <c:pt idx="1">
                  <c:v>2018</c:v>
                </c:pt>
                <c:pt idx="2">
                  <c:v>BAU2030</c:v>
                </c:pt>
                <c:pt idx="3">
                  <c:v>BAU2050</c:v>
                </c:pt>
              </c:strCache>
            </c:strRef>
          </c:cat>
          <c:val>
            <c:numRef>
              <c:f>'Landbrug + Sammenfatning'!$B$66:$E$66</c:f>
              <c:numCache>
                <c:formatCode>0</c:formatCode>
                <c:ptCount val="4"/>
                <c:pt idx="0">
                  <c:v>5.84582608168036</c:v>
                </c:pt>
                <c:pt idx="1">
                  <c:v>5.979204924915253</c:v>
                </c:pt>
                <c:pt idx="2">
                  <c:v>5.979204924915253</c:v>
                </c:pt>
                <c:pt idx="3">
                  <c:v>5.979204924915253</c:v>
                </c:pt>
              </c:numCache>
            </c:numRef>
          </c:val>
          <c:extLst>
            <c:ext xmlns:c16="http://schemas.microsoft.com/office/drawing/2014/chart" uri="{C3380CC4-5D6E-409C-BE32-E72D297353CC}">
              <c16:uniqueId val="{00000005-623D-478E-9733-5409B2D301BE}"/>
            </c:ext>
          </c:extLst>
        </c:ser>
        <c:ser>
          <c:idx val="6"/>
          <c:order val="6"/>
          <c:tx>
            <c:strRef>
              <c:f>'Landbrug + Sammenfatning'!$A$67</c:f>
              <c:strCache>
                <c:ptCount val="1"/>
                <c:pt idx="0">
                  <c:v>Affald, spildevand og tilfældige brande</c:v>
                </c:pt>
              </c:strCache>
            </c:strRef>
          </c:tx>
          <c:spPr>
            <a:solidFill>
              <a:schemeClr val="accent1">
                <a:lumMod val="60000"/>
              </a:schemeClr>
            </a:solidFill>
            <a:ln w="25400">
              <a:noFill/>
            </a:ln>
            <a:effectLst/>
          </c:spPr>
          <c:cat>
            <c:strRef>
              <c:f>'Landbrug + Sammenfatning'!$B$60:$E$60</c:f>
              <c:strCache>
                <c:ptCount val="4"/>
                <c:pt idx="0">
                  <c:v>1990</c:v>
                </c:pt>
                <c:pt idx="1">
                  <c:v>2018</c:v>
                </c:pt>
                <c:pt idx="2">
                  <c:v>BAU2030</c:v>
                </c:pt>
                <c:pt idx="3">
                  <c:v>BAU2050</c:v>
                </c:pt>
              </c:strCache>
            </c:strRef>
          </c:cat>
          <c:val>
            <c:numRef>
              <c:f>'Landbrug + Sammenfatning'!$B$67:$E$67</c:f>
              <c:numCache>
                <c:formatCode>0</c:formatCode>
                <c:ptCount val="4"/>
                <c:pt idx="0">
                  <c:v>0.55590828097913103</c:v>
                </c:pt>
                <c:pt idx="1">
                  <c:v>0.36066197085521962</c:v>
                </c:pt>
                <c:pt idx="2">
                  <c:v>0.31651795702513164</c:v>
                </c:pt>
                <c:pt idx="3">
                  <c:v>0.24588753489699061</c:v>
                </c:pt>
              </c:numCache>
            </c:numRef>
          </c:val>
          <c:extLst>
            <c:ext xmlns:c16="http://schemas.microsoft.com/office/drawing/2014/chart" uri="{C3380CC4-5D6E-409C-BE32-E72D297353CC}">
              <c16:uniqueId val="{00000006-623D-478E-9733-5409B2D301BE}"/>
            </c:ext>
          </c:extLst>
        </c:ser>
        <c:dLbls>
          <c:showLegendKey val="0"/>
          <c:showVal val="0"/>
          <c:showCatName val="0"/>
          <c:showSerName val="0"/>
          <c:showPercent val="0"/>
          <c:showBubbleSize val="0"/>
        </c:dLbls>
        <c:axId val="617339616"/>
        <c:axId val="617340600"/>
      </c:areaChart>
      <c:catAx>
        <c:axId val="617339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7340600"/>
        <c:crosses val="autoZero"/>
        <c:auto val="1"/>
        <c:lblAlgn val="ctr"/>
        <c:lblOffset val="100"/>
        <c:noMultiLvlLbl val="0"/>
      </c:catAx>
      <c:valAx>
        <c:axId val="617340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73396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Grafer!$B$860</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Grafer!$C$860:$K$860</c:f>
              <c:numCache>
                <c:formatCode>#,##0</c:formatCode>
                <c:ptCount val="9"/>
                <c:pt idx="5">
                  <c:v>0</c:v>
                </c:pt>
              </c:numCache>
            </c:numRef>
          </c:val>
          <c:extLst>
            <c:ext xmlns:c16="http://schemas.microsoft.com/office/drawing/2014/chart" uri="{C3380CC4-5D6E-409C-BE32-E72D297353CC}">
              <c16:uniqueId val="{00000000-555A-4735-9695-8B5F42389AA0}"/>
            </c:ext>
          </c:extLst>
        </c:ser>
        <c:ser>
          <c:idx val="3"/>
          <c:order val="1"/>
          <c:tx>
            <c:strRef>
              <c:f>Grafer!$B$861</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Grafer!$C$861:$K$861</c:f>
              <c:numCache>
                <c:formatCode>#,##0</c:formatCode>
                <c:ptCount val="9"/>
                <c:pt idx="0">
                  <c:v>0.11836999999999999</c:v>
                </c:pt>
                <c:pt idx="1">
                  <c:v>2.3674000000000001E-2</c:v>
                </c:pt>
                <c:pt idx="2">
                  <c:v>2.0292000000000001E-2</c:v>
                </c:pt>
                <c:pt idx="3">
                  <c:v>1.0146000000000001E-2</c:v>
                </c:pt>
                <c:pt idx="4">
                  <c:v>1.3528E-2</c:v>
                </c:pt>
                <c:pt idx="5">
                  <c:v>0.12851599999999999</c:v>
                </c:pt>
                <c:pt idx="6">
                  <c:v>0</c:v>
                </c:pt>
                <c:pt idx="7">
                  <c:v>2.3674000000000001E-2</c:v>
                </c:pt>
                <c:pt idx="8">
                  <c:v>0</c:v>
                </c:pt>
              </c:numCache>
            </c:numRef>
          </c:val>
          <c:extLst>
            <c:ext xmlns:c16="http://schemas.microsoft.com/office/drawing/2014/chart" uri="{C3380CC4-5D6E-409C-BE32-E72D297353CC}">
              <c16:uniqueId val="{00000001-555A-4735-9695-8B5F42389AA0}"/>
            </c:ext>
          </c:extLst>
        </c:ser>
        <c:ser>
          <c:idx val="4"/>
          <c:order val="2"/>
          <c:tx>
            <c:strRef>
              <c:f>Grafer!$B$862</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Grafer!$C$862:$K$862</c:f>
              <c:numCache>
                <c:formatCode>#,##0</c:formatCode>
                <c:ptCount val="9"/>
                <c:pt idx="5">
                  <c:v>0</c:v>
                </c:pt>
                <c:pt idx="8">
                  <c:v>3.2597399999999998E-4</c:v>
                </c:pt>
              </c:numCache>
            </c:numRef>
          </c:val>
          <c:extLst>
            <c:ext xmlns:c16="http://schemas.microsoft.com/office/drawing/2014/chart" uri="{C3380CC4-5D6E-409C-BE32-E72D297353CC}">
              <c16:uniqueId val="{00000002-555A-4735-9695-8B5F42389AA0}"/>
            </c:ext>
          </c:extLst>
        </c:ser>
        <c:ser>
          <c:idx val="5"/>
          <c:order val="3"/>
          <c:tx>
            <c:strRef>
              <c:f>Grafer!$B$863</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Grafer!$C$863:$K$863</c:f>
              <c:numCache>
                <c:formatCode>#,##0</c:formatCode>
                <c:ptCount val="9"/>
                <c:pt idx="0">
                  <c:v>5.702399999999999</c:v>
                </c:pt>
                <c:pt idx="5">
                  <c:v>0</c:v>
                </c:pt>
                <c:pt idx="7">
                  <c:v>2.4519000000000002</c:v>
                </c:pt>
                <c:pt idx="8">
                  <c:v>12.86985164703</c:v>
                </c:pt>
              </c:numCache>
            </c:numRef>
          </c:val>
          <c:extLst>
            <c:ext xmlns:c16="http://schemas.microsoft.com/office/drawing/2014/chart" uri="{C3380CC4-5D6E-409C-BE32-E72D297353CC}">
              <c16:uniqueId val="{00000003-555A-4735-9695-8B5F42389AA0}"/>
            </c:ext>
          </c:extLst>
        </c:ser>
        <c:ser>
          <c:idx val="6"/>
          <c:order val="4"/>
          <c:tx>
            <c:strRef>
              <c:f>Grafer!$B$864</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Grafer!$C$864:$K$864</c:f>
              <c:numCache>
                <c:formatCode>#,##0</c:formatCode>
                <c:ptCount val="9"/>
                <c:pt idx="5">
                  <c:v>0</c:v>
                </c:pt>
                <c:pt idx="8">
                  <c:v>3.3752503650000003</c:v>
                </c:pt>
              </c:numCache>
            </c:numRef>
          </c:val>
          <c:extLst>
            <c:ext xmlns:c16="http://schemas.microsoft.com/office/drawing/2014/chart" uri="{C3380CC4-5D6E-409C-BE32-E72D297353CC}">
              <c16:uniqueId val="{00000004-555A-4735-9695-8B5F42389AA0}"/>
            </c:ext>
          </c:extLst>
        </c:ser>
        <c:ser>
          <c:idx val="8"/>
          <c:order val="5"/>
          <c:tx>
            <c:strRef>
              <c:f>Grafer!$B$867</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Grafer!$C$867:$K$867</c:f>
              <c:numCache>
                <c:formatCode>#,##0</c:formatCode>
                <c:ptCount val="9"/>
                <c:pt idx="7">
                  <c:v>0</c:v>
                </c:pt>
                <c:pt idx="8">
                  <c:v>0.99316428150999991</c:v>
                </c:pt>
              </c:numCache>
            </c:numRef>
          </c:val>
          <c:extLst>
            <c:ext xmlns:c16="http://schemas.microsoft.com/office/drawing/2014/chart" uri="{C3380CC4-5D6E-409C-BE32-E72D297353CC}">
              <c16:uniqueId val="{00000005-555A-4735-9695-8B5F42389AA0}"/>
            </c:ext>
          </c:extLst>
        </c:ser>
        <c:ser>
          <c:idx val="7"/>
          <c:order val="6"/>
          <c:tx>
            <c:strRef>
              <c:f>Grafer!$B$866</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Grafer!$C$866:$K$866</c:f>
              <c:numCache>
                <c:formatCode>#,##0</c:formatCode>
                <c:ptCount val="9"/>
                <c:pt idx="5">
                  <c:v>0</c:v>
                </c:pt>
              </c:numCache>
            </c:numRef>
          </c:val>
          <c:extLst>
            <c:ext xmlns:c16="http://schemas.microsoft.com/office/drawing/2014/chart" uri="{C3380CC4-5D6E-409C-BE32-E72D297353CC}">
              <c16:uniqueId val="{00000006-555A-4735-9695-8B5F42389AA0}"/>
            </c:ext>
          </c:extLst>
        </c:ser>
        <c:ser>
          <c:idx val="9"/>
          <c:order val="7"/>
          <c:tx>
            <c:strRef>
              <c:f>Grafer!$B$868</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Grafer!$C$868:$K$868</c:f>
              <c:numCache>
                <c:formatCode>#,##0</c:formatCode>
                <c:ptCount val="9"/>
                <c:pt idx="0">
                  <c:v>26.593439999999998</c:v>
                </c:pt>
                <c:pt idx="5">
                  <c:v>9</c:v>
                </c:pt>
              </c:numCache>
            </c:numRef>
          </c:val>
          <c:extLst>
            <c:ext xmlns:c16="http://schemas.microsoft.com/office/drawing/2014/chart" uri="{C3380CC4-5D6E-409C-BE32-E72D297353CC}">
              <c16:uniqueId val="{00000007-555A-4735-9695-8B5F42389AA0}"/>
            </c:ext>
          </c:extLst>
        </c:ser>
        <c:ser>
          <c:idx val="13"/>
          <c:order val="8"/>
          <c:tx>
            <c:strRef>
              <c:f>Grafer!$B$870</c:f>
              <c:strCache>
                <c:ptCount val="1"/>
                <c:pt idx="0">
                  <c:v>Procesvarme fra KV-produktion</c:v>
                </c:pt>
              </c:strCache>
            </c:strRef>
          </c:tx>
          <c:spPr>
            <a:solidFill>
              <a:schemeClr val="accent5">
                <a:lumMod val="40000"/>
                <a:lumOff val="60000"/>
              </a:schemeClr>
            </a:solidFill>
          </c:spPr>
          <c:invertIfNegative val="0"/>
          <c:val>
            <c:numRef>
              <c:f>Grafer!$C$870:$K$870</c:f>
              <c:numCache>
                <c:formatCode>#,##0</c:formatCode>
                <c:ptCount val="9"/>
                <c:pt idx="5">
                  <c:v>0</c:v>
                </c:pt>
              </c:numCache>
            </c:numRef>
          </c:val>
          <c:extLst>
            <c:ext xmlns:c16="http://schemas.microsoft.com/office/drawing/2014/chart" uri="{C3380CC4-5D6E-409C-BE32-E72D297353CC}">
              <c16:uniqueId val="{00000008-555A-4735-9695-8B5F42389AA0}"/>
            </c:ext>
          </c:extLst>
        </c:ser>
        <c:ser>
          <c:idx val="10"/>
          <c:order val="9"/>
          <c:tx>
            <c:strRef>
              <c:f>Grafer!$B$869</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Grafer!$C$869:$K$869</c:f>
              <c:numCache>
                <c:formatCode>#,##0</c:formatCode>
                <c:ptCount val="9"/>
                <c:pt idx="0">
                  <c:v>10.19529792</c:v>
                </c:pt>
                <c:pt idx="1">
                  <c:v>1.5480590399999998</c:v>
                </c:pt>
                <c:pt idx="2">
                  <c:v>2.0797156800000001</c:v>
                </c:pt>
                <c:pt idx="3">
                  <c:v>1.0945872000000001</c:v>
                </c:pt>
                <c:pt idx="4">
                  <c:v>0</c:v>
                </c:pt>
                <c:pt idx="5">
                  <c:v>0.50038271999999995</c:v>
                </c:pt>
                <c:pt idx="6">
                  <c:v>0.23455439999999997</c:v>
                </c:pt>
                <c:pt idx="7">
                  <c:v>0</c:v>
                </c:pt>
              </c:numCache>
            </c:numRef>
          </c:val>
          <c:extLst>
            <c:ext xmlns:c16="http://schemas.microsoft.com/office/drawing/2014/chart" uri="{C3380CC4-5D6E-409C-BE32-E72D297353CC}">
              <c16:uniqueId val="{00000009-555A-4735-9695-8B5F42389AA0}"/>
            </c:ext>
          </c:extLst>
        </c:ser>
        <c:ser>
          <c:idx val="11"/>
          <c:order val="10"/>
          <c:tx>
            <c:strRef>
              <c:f>Grafer!$B$871</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Grafer!$C$871:$K$871</c:f>
              <c:numCache>
                <c:formatCode>#,##0</c:formatCode>
                <c:ptCount val="9"/>
                <c:pt idx="5">
                  <c:v>0</c:v>
                </c:pt>
              </c:numCache>
            </c:numRef>
          </c:val>
          <c:extLst>
            <c:ext xmlns:c16="http://schemas.microsoft.com/office/drawing/2014/chart" uri="{C3380CC4-5D6E-409C-BE32-E72D297353CC}">
              <c16:uniqueId val="{0000000A-555A-4735-9695-8B5F42389AA0}"/>
            </c:ext>
          </c:extLst>
        </c:ser>
        <c:ser>
          <c:idx val="12"/>
          <c:order val="11"/>
          <c:tx>
            <c:strRef>
              <c:f>Grafer!$B$872</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Grafer!$C$872:$K$872</c:f>
              <c:numCache>
                <c:formatCode>#,##0</c:formatCode>
                <c:ptCount val="9"/>
                <c:pt idx="0">
                  <c:v>8.5823999999999998</c:v>
                </c:pt>
              </c:numCache>
            </c:numRef>
          </c:val>
          <c:extLst>
            <c:ext xmlns:c16="http://schemas.microsoft.com/office/drawing/2014/chart" uri="{C3380CC4-5D6E-409C-BE32-E72D297353CC}">
              <c16:uniqueId val="{0000000B-555A-4735-9695-8B5F42389AA0}"/>
            </c:ext>
          </c:extLst>
        </c:ser>
        <c:ser>
          <c:idx val="1"/>
          <c:order val="12"/>
          <c:tx>
            <c:strRef>
              <c:f>Grafer!$B$859</c:f>
              <c:strCache>
                <c:ptCount val="1"/>
                <c:pt idx="0">
                  <c:v>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Grafer!$C$859:$K$859</c:f>
              <c:numCache>
                <c:formatCode>#,##0</c:formatCode>
                <c:ptCount val="9"/>
                <c:pt idx="0">
                  <c:v>29.063999999999997</c:v>
                </c:pt>
                <c:pt idx="1">
                  <c:v>2.92</c:v>
                </c:pt>
                <c:pt idx="2">
                  <c:v>3.7300000000000004</c:v>
                </c:pt>
                <c:pt idx="3">
                  <c:v>6.2</c:v>
                </c:pt>
                <c:pt idx="4">
                  <c:v>0</c:v>
                </c:pt>
                <c:pt idx="5">
                  <c:v>0</c:v>
                </c:pt>
                <c:pt idx="6">
                  <c:v>0</c:v>
                </c:pt>
                <c:pt idx="7">
                  <c:v>5.5299999999999994</c:v>
                </c:pt>
                <c:pt idx="8">
                  <c:v>3.4164067620000003</c:v>
                </c:pt>
              </c:numCache>
            </c:numRef>
          </c:val>
          <c:extLst>
            <c:ext xmlns:c16="http://schemas.microsoft.com/office/drawing/2014/chart" uri="{C3380CC4-5D6E-409C-BE32-E72D297353CC}">
              <c16:uniqueId val="{0000000C-555A-4735-9695-8B5F42389AA0}"/>
            </c:ext>
          </c:extLst>
        </c:ser>
        <c:ser>
          <c:idx val="0"/>
          <c:order val="13"/>
          <c:tx>
            <c:strRef>
              <c:f>Grafer!$B$865</c:f>
              <c:strCache>
                <c:ptCount val="1"/>
                <c:pt idx="0">
                  <c:v>JP1</c:v>
                </c:pt>
              </c:strCache>
            </c:strRef>
          </c:tx>
          <c:invertIfNegative val="0"/>
          <c:val>
            <c:numRef>
              <c:f>Grafer!$C$865:$K$865</c:f>
              <c:numCache>
                <c:formatCode>#,##0</c:formatCode>
                <c:ptCount val="9"/>
                <c:pt idx="8">
                  <c:v>5.3824537800000005</c:v>
                </c:pt>
              </c:numCache>
            </c:numRef>
          </c:val>
          <c:extLst>
            <c:ext xmlns:c16="http://schemas.microsoft.com/office/drawing/2014/chart" uri="{C3380CC4-5D6E-409C-BE32-E72D297353CC}">
              <c16:uniqueId val="{0000000D-555A-4735-9695-8B5F42389AA0}"/>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33"/>
          <c:y val="3.465346534653465E-2"/>
          <c:w val="0.64637145566444876"/>
          <c:h val="0.62314469696970176"/>
        </c:manualLayout>
      </c:layout>
      <c:barChart>
        <c:barDir val="col"/>
        <c:grouping val="stacked"/>
        <c:varyColors val="0"/>
        <c:ser>
          <c:idx val="2"/>
          <c:order val="0"/>
          <c:tx>
            <c:strRef>
              <c:f>Grafer!$B$733</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Grafer!$C$733:$K$733</c:f>
              <c:numCache>
                <c:formatCode>#,##0</c:formatCode>
                <c:ptCount val="9"/>
                <c:pt idx="5">
                  <c:v>0</c:v>
                </c:pt>
              </c:numCache>
            </c:numRef>
          </c:val>
          <c:extLst>
            <c:ext xmlns:c16="http://schemas.microsoft.com/office/drawing/2014/chart" uri="{C3380CC4-5D6E-409C-BE32-E72D297353CC}">
              <c16:uniqueId val="{00000000-67F4-4259-B246-D99FB38A63A5}"/>
            </c:ext>
          </c:extLst>
        </c:ser>
        <c:ser>
          <c:idx val="3"/>
          <c:order val="1"/>
          <c:tx>
            <c:strRef>
              <c:f>Grafer!$B$734</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Grafer!$C$734:$K$734</c:f>
              <c:numCache>
                <c:formatCode>#,##0</c:formatCode>
                <c:ptCount val="9"/>
                <c:pt idx="0">
                  <c:v>0.31149999999999994</c:v>
                </c:pt>
                <c:pt idx="1">
                  <c:v>6.2300000000000001E-2</c:v>
                </c:pt>
                <c:pt idx="2">
                  <c:v>5.3400000000000003E-2</c:v>
                </c:pt>
                <c:pt idx="3">
                  <c:v>2.6700000000000002E-2</c:v>
                </c:pt>
                <c:pt idx="4">
                  <c:v>3.56E-2</c:v>
                </c:pt>
                <c:pt idx="5">
                  <c:v>0.3382</c:v>
                </c:pt>
                <c:pt idx="6">
                  <c:v>0</c:v>
                </c:pt>
                <c:pt idx="7">
                  <c:v>6.2300000000000001E-2</c:v>
                </c:pt>
                <c:pt idx="8">
                  <c:v>0</c:v>
                </c:pt>
              </c:numCache>
            </c:numRef>
          </c:val>
          <c:extLst>
            <c:ext xmlns:c16="http://schemas.microsoft.com/office/drawing/2014/chart" uri="{C3380CC4-5D6E-409C-BE32-E72D297353CC}">
              <c16:uniqueId val="{00000001-67F4-4259-B246-D99FB38A63A5}"/>
            </c:ext>
          </c:extLst>
        </c:ser>
        <c:ser>
          <c:idx val="4"/>
          <c:order val="2"/>
          <c:tx>
            <c:strRef>
              <c:f>Grafer!$B$735</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Grafer!$C$735:$K$735</c:f>
              <c:numCache>
                <c:formatCode>#,##0</c:formatCode>
                <c:ptCount val="9"/>
                <c:pt idx="5">
                  <c:v>0</c:v>
                </c:pt>
                <c:pt idx="8">
                  <c:v>3.2597399999999998E-4</c:v>
                </c:pt>
              </c:numCache>
            </c:numRef>
          </c:val>
          <c:extLst>
            <c:ext xmlns:c16="http://schemas.microsoft.com/office/drawing/2014/chart" uri="{C3380CC4-5D6E-409C-BE32-E72D297353CC}">
              <c16:uniqueId val="{00000002-67F4-4259-B246-D99FB38A63A5}"/>
            </c:ext>
          </c:extLst>
        </c:ser>
        <c:ser>
          <c:idx val="5"/>
          <c:order val="3"/>
          <c:tx>
            <c:strRef>
              <c:f>Grafer!$B$736</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Grafer!$C$736:$K$736</c:f>
              <c:numCache>
                <c:formatCode>#,##0</c:formatCode>
                <c:ptCount val="9"/>
                <c:pt idx="0">
                  <c:v>7.1279999999999983</c:v>
                </c:pt>
                <c:pt idx="5">
                  <c:v>0</c:v>
                </c:pt>
                <c:pt idx="7">
                  <c:v>7.4300000000000006</c:v>
                </c:pt>
                <c:pt idx="8">
                  <c:v>44.759445647000007</c:v>
                </c:pt>
              </c:numCache>
            </c:numRef>
          </c:val>
          <c:extLst>
            <c:ext xmlns:c16="http://schemas.microsoft.com/office/drawing/2014/chart" uri="{C3380CC4-5D6E-409C-BE32-E72D297353CC}">
              <c16:uniqueId val="{00000003-67F4-4259-B246-D99FB38A63A5}"/>
            </c:ext>
          </c:extLst>
        </c:ser>
        <c:ser>
          <c:idx val="6"/>
          <c:order val="4"/>
          <c:tx>
            <c:strRef>
              <c:f>Grafer!$B$737</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Grafer!$C$737:$K$737</c:f>
              <c:numCache>
                <c:formatCode>#,##0</c:formatCode>
                <c:ptCount val="9"/>
                <c:pt idx="5">
                  <c:v>0</c:v>
                </c:pt>
                <c:pt idx="8">
                  <c:v>16.864876500000001</c:v>
                </c:pt>
              </c:numCache>
            </c:numRef>
          </c:val>
          <c:extLst>
            <c:ext xmlns:c16="http://schemas.microsoft.com/office/drawing/2014/chart" uri="{C3380CC4-5D6E-409C-BE32-E72D297353CC}">
              <c16:uniqueId val="{00000004-67F4-4259-B246-D99FB38A63A5}"/>
            </c:ext>
          </c:extLst>
        </c:ser>
        <c:ser>
          <c:idx val="0"/>
          <c:order val="5"/>
          <c:tx>
            <c:strRef>
              <c:f>Grafer!$B$738</c:f>
              <c:strCache>
                <c:ptCount val="1"/>
                <c:pt idx="0">
                  <c:v>JP1</c:v>
                </c:pt>
              </c:strCache>
            </c:strRef>
          </c:tx>
          <c:invertIfNegative val="0"/>
          <c:val>
            <c:numRef>
              <c:f>Grafer!$C$738:$K$738</c:f>
              <c:numCache>
                <c:formatCode>#,##0</c:formatCode>
                <c:ptCount val="9"/>
                <c:pt idx="8">
                  <c:v>16.310466000000002</c:v>
                </c:pt>
              </c:numCache>
            </c:numRef>
          </c:val>
          <c:extLst>
            <c:ext xmlns:c16="http://schemas.microsoft.com/office/drawing/2014/chart" uri="{C3380CC4-5D6E-409C-BE32-E72D297353CC}">
              <c16:uniqueId val="{00000005-67F4-4259-B246-D99FB38A63A5}"/>
            </c:ext>
          </c:extLst>
        </c:ser>
        <c:ser>
          <c:idx val="8"/>
          <c:order val="6"/>
          <c:tx>
            <c:strRef>
              <c:f>Grafer!$B$740</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Grafer!$C$740:$K$740</c:f>
              <c:numCache>
                <c:formatCode>#,##0</c:formatCode>
                <c:ptCount val="9"/>
                <c:pt idx="7">
                  <c:v>0</c:v>
                </c:pt>
                <c:pt idx="8">
                  <c:v>3.7886675909999994</c:v>
                </c:pt>
              </c:numCache>
            </c:numRef>
          </c:val>
          <c:extLst>
            <c:ext xmlns:c16="http://schemas.microsoft.com/office/drawing/2014/chart" uri="{C3380CC4-5D6E-409C-BE32-E72D297353CC}">
              <c16:uniqueId val="{00000006-67F4-4259-B246-D99FB38A63A5}"/>
            </c:ext>
          </c:extLst>
        </c:ser>
        <c:ser>
          <c:idx val="7"/>
          <c:order val="7"/>
          <c:tx>
            <c:strRef>
              <c:f>Grafer!$B$739</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Grafer!$C$739:$K$739</c:f>
              <c:numCache>
                <c:formatCode>#,##0</c:formatCode>
                <c:ptCount val="9"/>
                <c:pt idx="5">
                  <c:v>0</c:v>
                </c:pt>
              </c:numCache>
            </c:numRef>
          </c:val>
          <c:extLst>
            <c:ext xmlns:c16="http://schemas.microsoft.com/office/drawing/2014/chart" uri="{C3380CC4-5D6E-409C-BE32-E72D297353CC}">
              <c16:uniqueId val="{00000007-67F4-4259-B246-D99FB38A63A5}"/>
            </c:ext>
          </c:extLst>
        </c:ser>
        <c:ser>
          <c:idx val="9"/>
          <c:order val="8"/>
          <c:tx>
            <c:strRef>
              <c:f>Grafer!$B$741</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Grafer!$C$741:$K$741</c:f>
              <c:numCache>
                <c:formatCode>#,##0</c:formatCode>
                <c:ptCount val="9"/>
                <c:pt idx="0">
                  <c:v>39.388799999999996</c:v>
                </c:pt>
                <c:pt idx="5">
                  <c:v>10</c:v>
                </c:pt>
              </c:numCache>
            </c:numRef>
          </c:val>
          <c:extLst>
            <c:ext xmlns:c16="http://schemas.microsoft.com/office/drawing/2014/chart" uri="{C3380CC4-5D6E-409C-BE32-E72D297353CC}">
              <c16:uniqueId val="{00000008-67F4-4259-B246-D99FB38A63A5}"/>
            </c:ext>
          </c:extLst>
        </c:ser>
        <c:ser>
          <c:idx val="13"/>
          <c:order val="9"/>
          <c:tx>
            <c:strRef>
              <c:f>Grafer!$B$743</c:f>
              <c:strCache>
                <c:ptCount val="1"/>
                <c:pt idx="0">
                  <c:v>Procesvarme fra KV-produktion</c:v>
                </c:pt>
              </c:strCache>
            </c:strRef>
          </c:tx>
          <c:spPr>
            <a:solidFill>
              <a:schemeClr val="accent5">
                <a:lumMod val="40000"/>
                <a:lumOff val="60000"/>
              </a:schemeClr>
            </a:solidFill>
          </c:spPr>
          <c:invertIfNegative val="0"/>
          <c:val>
            <c:numRef>
              <c:f>Grafer!$C$743:$K$743</c:f>
              <c:numCache>
                <c:formatCode>#,##0</c:formatCode>
                <c:ptCount val="9"/>
                <c:pt idx="5">
                  <c:v>0</c:v>
                </c:pt>
              </c:numCache>
            </c:numRef>
          </c:val>
          <c:extLst>
            <c:ext xmlns:c16="http://schemas.microsoft.com/office/drawing/2014/chart" uri="{C3380CC4-5D6E-409C-BE32-E72D297353CC}">
              <c16:uniqueId val="{00000009-67F4-4259-B246-D99FB38A63A5}"/>
            </c:ext>
          </c:extLst>
        </c:ser>
        <c:ser>
          <c:idx val="10"/>
          <c:order val="10"/>
          <c:tx>
            <c:strRef>
              <c:f>Grafer!$B$742</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Grafer!$C$742:$K$742</c:f>
              <c:numCache>
                <c:formatCode>#,##0</c:formatCode>
                <c:ptCount val="9"/>
                <c:pt idx="0">
                  <c:v>13.593730559999999</c:v>
                </c:pt>
                <c:pt idx="1">
                  <c:v>2.0640787199999999</c:v>
                </c:pt>
                <c:pt idx="2">
                  <c:v>2.7729542400000002</c:v>
                </c:pt>
                <c:pt idx="3">
                  <c:v>1.4594496000000001</c:v>
                </c:pt>
                <c:pt idx="4">
                  <c:v>0</c:v>
                </c:pt>
                <c:pt idx="5">
                  <c:v>0.66717695999999993</c:v>
                </c:pt>
                <c:pt idx="6">
                  <c:v>0.31273919999999994</c:v>
                </c:pt>
                <c:pt idx="7">
                  <c:v>0</c:v>
                </c:pt>
              </c:numCache>
            </c:numRef>
          </c:val>
          <c:extLst>
            <c:ext xmlns:c16="http://schemas.microsoft.com/office/drawing/2014/chart" uri="{C3380CC4-5D6E-409C-BE32-E72D297353CC}">
              <c16:uniqueId val="{0000000A-67F4-4259-B246-D99FB38A63A5}"/>
            </c:ext>
          </c:extLst>
        </c:ser>
        <c:ser>
          <c:idx val="11"/>
          <c:order val="11"/>
          <c:tx>
            <c:strRef>
              <c:f>Grafer!$B$744</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Grafer!$C$744:$K$744</c:f>
              <c:numCache>
                <c:formatCode>#,##0</c:formatCode>
                <c:ptCount val="9"/>
                <c:pt idx="5">
                  <c:v>0</c:v>
                </c:pt>
              </c:numCache>
            </c:numRef>
          </c:val>
          <c:extLst>
            <c:ext xmlns:c16="http://schemas.microsoft.com/office/drawing/2014/chart" uri="{C3380CC4-5D6E-409C-BE32-E72D297353CC}">
              <c16:uniqueId val="{0000000B-67F4-4259-B246-D99FB38A63A5}"/>
            </c:ext>
          </c:extLst>
        </c:ser>
        <c:ser>
          <c:idx val="12"/>
          <c:order val="12"/>
          <c:tx>
            <c:strRef>
              <c:f>Grafer!$B$745</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Grafer!$C$745:$K$745</c:f>
              <c:numCache>
                <c:formatCode>#,##0</c:formatCode>
                <c:ptCount val="9"/>
                <c:pt idx="0">
                  <c:v>8.5823999999999998</c:v>
                </c:pt>
              </c:numCache>
            </c:numRef>
          </c:val>
          <c:extLst>
            <c:ext xmlns:c16="http://schemas.microsoft.com/office/drawing/2014/chart" uri="{C3380CC4-5D6E-409C-BE32-E72D297353CC}">
              <c16:uniqueId val="{0000000C-67F4-4259-B246-D99FB38A63A5}"/>
            </c:ext>
          </c:extLst>
        </c:ser>
        <c:ser>
          <c:idx val="1"/>
          <c:order val="13"/>
          <c:tx>
            <c:strRef>
              <c:f>Grafer!$B$732</c:f>
              <c:strCache>
                <c:ptCount val="1"/>
                <c:pt idx="0">
                  <c:v>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Grafer!$C$732:$K$732</c:f>
              <c:numCache>
                <c:formatCode>#,##0</c:formatCode>
                <c:ptCount val="9"/>
                <c:pt idx="0">
                  <c:v>34.324759671013538</c:v>
                </c:pt>
                <c:pt idx="1">
                  <c:v>4.0668730650154803</c:v>
                </c:pt>
                <c:pt idx="2">
                  <c:v>4.1531475748194016</c:v>
                </c:pt>
                <c:pt idx="3">
                  <c:v>6.9077399380804962</c:v>
                </c:pt>
                <c:pt idx="4">
                  <c:v>0</c:v>
                </c:pt>
                <c:pt idx="5">
                  <c:v>0</c:v>
                </c:pt>
                <c:pt idx="6">
                  <c:v>0</c:v>
                </c:pt>
                <c:pt idx="7">
                  <c:v>7.1294117647058819</c:v>
                </c:pt>
                <c:pt idx="8">
                  <c:v>4.2308442873065024</c:v>
                </c:pt>
              </c:numCache>
            </c:numRef>
          </c:val>
          <c:extLst>
            <c:ext xmlns:c16="http://schemas.microsoft.com/office/drawing/2014/chart" uri="{C3380CC4-5D6E-409C-BE32-E72D297353CC}">
              <c16:uniqueId val="{0000000D-67F4-4259-B246-D99FB38A63A5}"/>
            </c:ext>
          </c:extLst>
        </c:ser>
        <c:dLbls>
          <c:showLegendKey val="0"/>
          <c:showVal val="0"/>
          <c:showCatName val="0"/>
          <c:showSerName val="0"/>
          <c:showPercent val="0"/>
          <c:showBubbleSize val="0"/>
        </c:dLbls>
        <c:gapWidth val="150"/>
        <c:overlap val="100"/>
        <c:axId val="684827168"/>
        <c:axId val="580034688"/>
      </c:barChart>
      <c:catAx>
        <c:axId val="6848271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580034688"/>
        <c:crosses val="autoZero"/>
        <c:auto val="1"/>
        <c:lblAlgn val="ctr"/>
        <c:lblOffset val="100"/>
        <c:noMultiLvlLbl val="0"/>
      </c:catAx>
      <c:valAx>
        <c:axId val="5800346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716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77" l="0.70000000000000062" r="0.70000000000000062" t="0.7500000000000137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6" Type="http://schemas.openxmlformats.org/officeDocument/2006/relationships/hyperlink" Target="#Grafer!B88"/><Relationship Id="rId21" Type="http://schemas.openxmlformats.org/officeDocument/2006/relationships/chart" Target="../charts/chart21.xml"/><Relationship Id="rId42" Type="http://schemas.openxmlformats.org/officeDocument/2006/relationships/hyperlink" Target="#Grafer!B516"/><Relationship Id="rId47" Type="http://schemas.openxmlformats.org/officeDocument/2006/relationships/hyperlink" Target="#Grafer!B442"/><Relationship Id="rId63" Type="http://schemas.openxmlformats.org/officeDocument/2006/relationships/chart" Target="../charts/chart33.xml"/><Relationship Id="rId68" Type="http://schemas.openxmlformats.org/officeDocument/2006/relationships/chart" Target="../charts/chart38.xml"/><Relationship Id="rId84" Type="http://schemas.openxmlformats.org/officeDocument/2006/relationships/chart" Target="../charts/chart54.xml"/><Relationship Id="rId89" Type="http://schemas.openxmlformats.org/officeDocument/2006/relationships/chart" Target="../charts/chart59.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hyperlink" Target="#Grafer!B1053"/><Relationship Id="rId37" Type="http://schemas.openxmlformats.org/officeDocument/2006/relationships/hyperlink" Target="#Grafer!B208"/><Relationship Id="rId53" Type="http://schemas.openxmlformats.org/officeDocument/2006/relationships/hyperlink" Target="#Grafer!B976"/><Relationship Id="rId58" Type="http://schemas.openxmlformats.org/officeDocument/2006/relationships/chart" Target="../charts/chart28.xml"/><Relationship Id="rId74" Type="http://schemas.openxmlformats.org/officeDocument/2006/relationships/chart" Target="../charts/chart44.xml"/><Relationship Id="rId79" Type="http://schemas.openxmlformats.org/officeDocument/2006/relationships/chart" Target="../charts/chart49.xml"/><Relationship Id="rId5" Type="http://schemas.openxmlformats.org/officeDocument/2006/relationships/chart" Target="../charts/chart5.xml"/><Relationship Id="rId90" Type="http://schemas.openxmlformats.org/officeDocument/2006/relationships/chart" Target="../charts/chart60.xml"/><Relationship Id="rId95" Type="http://schemas.openxmlformats.org/officeDocument/2006/relationships/chart" Target="../charts/chart65.xml"/><Relationship Id="rId22" Type="http://schemas.openxmlformats.org/officeDocument/2006/relationships/chart" Target="../charts/chart22.xml"/><Relationship Id="rId27" Type="http://schemas.openxmlformats.org/officeDocument/2006/relationships/hyperlink" Target="#Grafer!B605"/><Relationship Id="rId43" Type="http://schemas.openxmlformats.org/officeDocument/2006/relationships/hyperlink" Target="#Grafer!B546"/><Relationship Id="rId48" Type="http://schemas.openxmlformats.org/officeDocument/2006/relationships/hyperlink" Target="#Grafer!B777"/><Relationship Id="rId64" Type="http://schemas.openxmlformats.org/officeDocument/2006/relationships/chart" Target="../charts/chart34.xml"/><Relationship Id="rId69" Type="http://schemas.openxmlformats.org/officeDocument/2006/relationships/chart" Target="../charts/chart39.xml"/><Relationship Id="rId80" Type="http://schemas.openxmlformats.org/officeDocument/2006/relationships/chart" Target="../charts/chart50.xml"/><Relationship Id="rId85" Type="http://schemas.openxmlformats.org/officeDocument/2006/relationships/chart" Target="../charts/chart5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hyperlink" Target="#Grafer!B1104"/><Relationship Id="rId38" Type="http://schemas.openxmlformats.org/officeDocument/2006/relationships/hyperlink" Target="#Grafer!B237"/><Relationship Id="rId46" Type="http://schemas.openxmlformats.org/officeDocument/2006/relationships/hyperlink" Target="#Grafer!B396"/><Relationship Id="rId59" Type="http://schemas.openxmlformats.org/officeDocument/2006/relationships/chart" Target="../charts/chart29.xml"/><Relationship Id="rId67" Type="http://schemas.openxmlformats.org/officeDocument/2006/relationships/chart" Target="../charts/chart37.xml"/><Relationship Id="rId20" Type="http://schemas.openxmlformats.org/officeDocument/2006/relationships/chart" Target="../charts/chart20.xml"/><Relationship Id="rId41" Type="http://schemas.openxmlformats.org/officeDocument/2006/relationships/hyperlink" Target="#Grafer!B486"/><Relationship Id="rId54" Type="http://schemas.openxmlformats.org/officeDocument/2006/relationships/hyperlink" Target="#Grafer!B1005"/><Relationship Id="rId62" Type="http://schemas.openxmlformats.org/officeDocument/2006/relationships/chart" Target="../charts/chart32.xml"/><Relationship Id="rId70" Type="http://schemas.openxmlformats.org/officeDocument/2006/relationships/chart" Target="../charts/chart40.xml"/><Relationship Id="rId75" Type="http://schemas.openxmlformats.org/officeDocument/2006/relationships/chart" Target="../charts/chart45.xml"/><Relationship Id="rId83" Type="http://schemas.openxmlformats.org/officeDocument/2006/relationships/chart" Target="../charts/chart53.xml"/><Relationship Id="rId88" Type="http://schemas.openxmlformats.org/officeDocument/2006/relationships/chart" Target="../charts/chart58.xml"/><Relationship Id="rId91" Type="http://schemas.openxmlformats.org/officeDocument/2006/relationships/chart" Target="../charts/chart61.xml"/><Relationship Id="rId96" Type="http://schemas.openxmlformats.org/officeDocument/2006/relationships/chart" Target="../charts/chart6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hyperlink" Target="#Grafer!B635"/><Relationship Id="rId36" Type="http://schemas.openxmlformats.org/officeDocument/2006/relationships/hyperlink" Target="#Grafer!B179"/><Relationship Id="rId49" Type="http://schemas.openxmlformats.org/officeDocument/2006/relationships/hyperlink" Target="#Grafer!B902"/><Relationship Id="rId57" Type="http://schemas.openxmlformats.org/officeDocument/2006/relationships/chart" Target="../charts/chart27.xml"/><Relationship Id="rId10" Type="http://schemas.openxmlformats.org/officeDocument/2006/relationships/chart" Target="../charts/chart10.xml"/><Relationship Id="rId31" Type="http://schemas.openxmlformats.org/officeDocument/2006/relationships/hyperlink" Target="#Grafer!B1197"/><Relationship Id="rId44" Type="http://schemas.openxmlformats.org/officeDocument/2006/relationships/hyperlink" Target="#Grafer!B337"/><Relationship Id="rId52" Type="http://schemas.openxmlformats.org/officeDocument/2006/relationships/hyperlink" Target="#Grafer!B946"/><Relationship Id="rId60" Type="http://schemas.openxmlformats.org/officeDocument/2006/relationships/chart" Target="../charts/chart30.xml"/><Relationship Id="rId65" Type="http://schemas.openxmlformats.org/officeDocument/2006/relationships/chart" Target="../charts/chart35.xml"/><Relationship Id="rId73" Type="http://schemas.openxmlformats.org/officeDocument/2006/relationships/chart" Target="../charts/chart43.xml"/><Relationship Id="rId78" Type="http://schemas.openxmlformats.org/officeDocument/2006/relationships/chart" Target="../charts/chart48.xml"/><Relationship Id="rId81" Type="http://schemas.openxmlformats.org/officeDocument/2006/relationships/chart" Target="../charts/chart51.xml"/><Relationship Id="rId86" Type="http://schemas.openxmlformats.org/officeDocument/2006/relationships/chart" Target="../charts/chart56.xml"/><Relationship Id="rId94" Type="http://schemas.openxmlformats.org/officeDocument/2006/relationships/chart" Target="../charts/chart64.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B266"/><Relationship Id="rId34" Type="http://schemas.openxmlformats.org/officeDocument/2006/relationships/hyperlink" Target="#Grafer!B1149"/><Relationship Id="rId50" Type="http://schemas.openxmlformats.org/officeDocument/2006/relationships/hyperlink" Target="#Grafer!B811"/><Relationship Id="rId55" Type="http://schemas.openxmlformats.org/officeDocument/2006/relationships/chart" Target="../charts/chart26.xml"/><Relationship Id="rId76" Type="http://schemas.openxmlformats.org/officeDocument/2006/relationships/chart" Target="../charts/chart46.xml"/><Relationship Id="rId97" Type="http://schemas.openxmlformats.org/officeDocument/2006/relationships/chart" Target="../charts/chart67.xml"/><Relationship Id="rId7" Type="http://schemas.openxmlformats.org/officeDocument/2006/relationships/chart" Target="../charts/chart7.xml"/><Relationship Id="rId71" Type="http://schemas.openxmlformats.org/officeDocument/2006/relationships/chart" Target="../charts/chart41.xml"/><Relationship Id="rId92" Type="http://schemas.openxmlformats.org/officeDocument/2006/relationships/chart" Target="../charts/chart62.xml"/><Relationship Id="rId2" Type="http://schemas.openxmlformats.org/officeDocument/2006/relationships/chart" Target="../charts/chart2.xml"/><Relationship Id="rId29" Type="http://schemas.openxmlformats.org/officeDocument/2006/relationships/hyperlink" Target="#Grafer!B676"/><Relationship Id="rId24" Type="http://schemas.openxmlformats.org/officeDocument/2006/relationships/chart" Target="../charts/chart24.xml"/><Relationship Id="rId40" Type="http://schemas.openxmlformats.org/officeDocument/2006/relationships/hyperlink" Target="#Grafer!B296"/><Relationship Id="rId45" Type="http://schemas.openxmlformats.org/officeDocument/2006/relationships/hyperlink" Target="#Grafer!B366"/><Relationship Id="rId66" Type="http://schemas.openxmlformats.org/officeDocument/2006/relationships/chart" Target="../charts/chart36.xml"/><Relationship Id="rId87" Type="http://schemas.openxmlformats.org/officeDocument/2006/relationships/chart" Target="../charts/chart57.xml"/><Relationship Id="rId61" Type="http://schemas.openxmlformats.org/officeDocument/2006/relationships/chart" Target="../charts/chart31.xml"/><Relationship Id="rId82" Type="http://schemas.openxmlformats.org/officeDocument/2006/relationships/chart" Target="../charts/chart5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hyperlink" Target="#Grafer!B706"/><Relationship Id="rId35" Type="http://schemas.openxmlformats.org/officeDocument/2006/relationships/hyperlink" Target="#Grafer!B149"/><Relationship Id="rId56" Type="http://schemas.openxmlformats.org/officeDocument/2006/relationships/hyperlink" Target="#Grafer!A1"/><Relationship Id="rId77" Type="http://schemas.openxmlformats.org/officeDocument/2006/relationships/chart" Target="../charts/chart47.xml"/><Relationship Id="rId8" Type="http://schemas.openxmlformats.org/officeDocument/2006/relationships/chart" Target="../charts/chart8.xml"/><Relationship Id="rId51" Type="http://schemas.openxmlformats.org/officeDocument/2006/relationships/hyperlink" Target="#Grafer!B840"/><Relationship Id="rId72" Type="http://schemas.openxmlformats.org/officeDocument/2006/relationships/chart" Target="../charts/chart42.xml"/><Relationship Id="rId93" Type="http://schemas.openxmlformats.org/officeDocument/2006/relationships/chart" Target="../charts/chart6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 Id="rId6" Type="http://schemas.openxmlformats.org/officeDocument/2006/relationships/chart" Target="../charts/chart73.xml"/><Relationship Id="rId5" Type="http://schemas.openxmlformats.org/officeDocument/2006/relationships/chart" Target="../charts/chart72.xml"/><Relationship Id="rId4" Type="http://schemas.openxmlformats.org/officeDocument/2006/relationships/chart" Target="../charts/chart71.xml"/></Relationships>
</file>

<file path=xl/drawings/drawing1.xml><?xml version="1.0" encoding="utf-8"?>
<xdr:wsDr xmlns:xdr="http://schemas.openxmlformats.org/drawingml/2006/spreadsheetDrawing" xmlns:a="http://schemas.openxmlformats.org/drawingml/2006/main">
  <xdr:twoCellAnchor>
    <xdr:from>
      <xdr:col>23</xdr:col>
      <xdr:colOff>514747</xdr:colOff>
      <xdr:row>87</xdr:row>
      <xdr:rowOff>300455</xdr:rowOff>
    </xdr:from>
    <xdr:to>
      <xdr:col>26</xdr:col>
      <xdr:colOff>362986</xdr:colOff>
      <xdr:row>87</xdr:row>
      <xdr:rowOff>811249</xdr:rowOff>
    </xdr:to>
    <xdr:grpSp>
      <xdr:nvGrpSpPr>
        <xdr:cNvPr id="10" name="Gruppe 9">
          <a:extLst>
            <a:ext uri="{FF2B5EF4-FFF2-40B4-BE49-F238E27FC236}">
              <a16:creationId xmlns:a16="http://schemas.microsoft.com/office/drawing/2014/main" id="{25E5F580-307F-4383-9C3C-D6C727B0C804}"/>
            </a:ext>
          </a:extLst>
        </xdr:cNvPr>
        <xdr:cNvGrpSpPr/>
      </xdr:nvGrpSpPr>
      <xdr:grpSpPr>
        <a:xfrm>
          <a:off x="11468497" y="18819776"/>
          <a:ext cx="4651560" cy="510794"/>
          <a:chOff x="11904394" y="17705398"/>
          <a:chExt cx="4289329" cy="503756"/>
        </a:xfrm>
      </xdr:grpSpPr>
      <xdr:pic>
        <xdr:nvPicPr>
          <xdr:cNvPr id="11" name="Billede 10">
            <a:extLst>
              <a:ext uri="{FF2B5EF4-FFF2-40B4-BE49-F238E27FC236}">
                <a16:creationId xmlns:a16="http://schemas.microsoft.com/office/drawing/2014/main" id="{958E8714-4CF3-4C61-8B4B-D2A6BCF36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2" name="Billede 11">
            <a:extLst>
              <a:ext uri="{FF2B5EF4-FFF2-40B4-BE49-F238E27FC236}">
                <a16:creationId xmlns:a16="http://schemas.microsoft.com/office/drawing/2014/main" id="{F625754B-A7EA-4A40-9DF0-9CB91F088B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537159</xdr:colOff>
      <xdr:row>87</xdr:row>
      <xdr:rowOff>241223</xdr:rowOff>
    </xdr:from>
    <xdr:to>
      <xdr:col>27</xdr:col>
      <xdr:colOff>6799</xdr:colOff>
      <xdr:row>87</xdr:row>
      <xdr:rowOff>749616</xdr:rowOff>
    </xdr:to>
    <xdr:grpSp>
      <xdr:nvGrpSpPr>
        <xdr:cNvPr id="6" name="Gruppe 5">
          <a:extLst>
            <a:ext uri="{FF2B5EF4-FFF2-40B4-BE49-F238E27FC236}">
              <a16:creationId xmlns:a16="http://schemas.microsoft.com/office/drawing/2014/main" id="{7820FDF7-D68E-4B99-B0D5-721B1006C121}"/>
            </a:ext>
          </a:extLst>
        </xdr:cNvPr>
        <xdr:cNvGrpSpPr/>
      </xdr:nvGrpSpPr>
      <xdr:grpSpPr>
        <a:xfrm>
          <a:off x="11490909" y="18760544"/>
          <a:ext cx="4653961" cy="508393"/>
          <a:chOff x="11904394" y="17705398"/>
          <a:chExt cx="4289329" cy="503756"/>
        </a:xfrm>
      </xdr:grpSpPr>
      <xdr:pic>
        <xdr:nvPicPr>
          <xdr:cNvPr id="7" name="Billede 6">
            <a:extLst>
              <a:ext uri="{FF2B5EF4-FFF2-40B4-BE49-F238E27FC236}">
                <a16:creationId xmlns:a16="http://schemas.microsoft.com/office/drawing/2014/main" id="{555616FD-BFC0-437E-AEB5-32FAB839A3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8" name="Billede 7">
            <a:extLst>
              <a:ext uri="{FF2B5EF4-FFF2-40B4-BE49-F238E27FC236}">
                <a16:creationId xmlns:a16="http://schemas.microsoft.com/office/drawing/2014/main" id="{95B0C9BA-3ECB-4A06-B7BA-4C7D6E983F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133748</xdr:colOff>
      <xdr:row>86</xdr:row>
      <xdr:rowOff>28312</xdr:rowOff>
    </xdr:from>
    <xdr:to>
      <xdr:col>27</xdr:col>
      <xdr:colOff>186094</xdr:colOff>
      <xdr:row>87</xdr:row>
      <xdr:rowOff>334999</xdr:rowOff>
    </xdr:to>
    <xdr:grpSp>
      <xdr:nvGrpSpPr>
        <xdr:cNvPr id="3" name="Gruppe 2">
          <a:extLst>
            <a:ext uri="{FF2B5EF4-FFF2-40B4-BE49-F238E27FC236}">
              <a16:creationId xmlns:a16="http://schemas.microsoft.com/office/drawing/2014/main" id="{F39F5C77-884C-408C-9365-71504220DE44}"/>
            </a:ext>
          </a:extLst>
        </xdr:cNvPr>
        <xdr:cNvGrpSpPr/>
      </xdr:nvGrpSpPr>
      <xdr:grpSpPr>
        <a:xfrm>
          <a:off x="11672605" y="18275491"/>
          <a:ext cx="4297775" cy="510794"/>
          <a:chOff x="11904394" y="17705398"/>
          <a:chExt cx="4289329" cy="503756"/>
        </a:xfrm>
      </xdr:grpSpPr>
      <xdr:pic>
        <xdr:nvPicPr>
          <xdr:cNvPr id="4" name="Billede 3">
            <a:extLst>
              <a:ext uri="{FF2B5EF4-FFF2-40B4-BE49-F238E27FC236}">
                <a16:creationId xmlns:a16="http://schemas.microsoft.com/office/drawing/2014/main" id="{7ADFD02D-CDCE-4D31-A518-A452B81B5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5" name="Billede 4">
            <a:extLst>
              <a:ext uri="{FF2B5EF4-FFF2-40B4-BE49-F238E27FC236}">
                <a16:creationId xmlns:a16="http://schemas.microsoft.com/office/drawing/2014/main" id="{C18D2E2C-178E-4F1D-B181-3F92089CA6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87</xdr:row>
      <xdr:rowOff>0</xdr:rowOff>
    </xdr:from>
    <xdr:to>
      <xdr:col>27</xdr:col>
      <xdr:colOff>52346</xdr:colOff>
      <xdr:row>87</xdr:row>
      <xdr:rowOff>510794</xdr:rowOff>
    </xdr:to>
    <xdr:grpSp>
      <xdr:nvGrpSpPr>
        <xdr:cNvPr id="2" name="Gruppe 1">
          <a:extLst>
            <a:ext uri="{FF2B5EF4-FFF2-40B4-BE49-F238E27FC236}">
              <a16:creationId xmlns:a16="http://schemas.microsoft.com/office/drawing/2014/main" id="{6343DCBC-C785-4E08-BEEE-793107F5BBEA}"/>
            </a:ext>
          </a:extLst>
        </xdr:cNvPr>
        <xdr:cNvGrpSpPr/>
      </xdr:nvGrpSpPr>
      <xdr:grpSpPr>
        <a:xfrm>
          <a:off x="11538857" y="18410464"/>
          <a:ext cx="4297775" cy="510794"/>
          <a:chOff x="11904394" y="17705398"/>
          <a:chExt cx="4289329" cy="503756"/>
        </a:xfrm>
      </xdr:grpSpPr>
      <xdr:pic>
        <xdr:nvPicPr>
          <xdr:cNvPr id="3" name="Billede 2">
            <a:extLst>
              <a:ext uri="{FF2B5EF4-FFF2-40B4-BE49-F238E27FC236}">
                <a16:creationId xmlns:a16="http://schemas.microsoft.com/office/drawing/2014/main" id="{337A6ADF-C122-4451-BA36-3A0D4F37E6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4" name="Billede 3">
            <a:extLst>
              <a:ext uri="{FF2B5EF4-FFF2-40B4-BE49-F238E27FC236}">
                <a16:creationId xmlns:a16="http://schemas.microsoft.com/office/drawing/2014/main" id="{3E1C7EBA-D614-4437-99A0-75C67C76F6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twoCellAnchor>
    <xdr:from>
      <xdr:col>24</xdr:col>
      <xdr:colOff>0</xdr:colOff>
      <xdr:row>87</xdr:row>
      <xdr:rowOff>0</xdr:rowOff>
    </xdr:from>
    <xdr:to>
      <xdr:col>27</xdr:col>
      <xdr:colOff>52346</xdr:colOff>
      <xdr:row>87</xdr:row>
      <xdr:rowOff>510794</xdr:rowOff>
    </xdr:to>
    <xdr:grpSp>
      <xdr:nvGrpSpPr>
        <xdr:cNvPr id="5" name="Gruppe 4">
          <a:extLst>
            <a:ext uri="{FF2B5EF4-FFF2-40B4-BE49-F238E27FC236}">
              <a16:creationId xmlns:a16="http://schemas.microsoft.com/office/drawing/2014/main" id="{B56950E8-682E-44C0-BF5C-30FEAE9F0173}"/>
            </a:ext>
          </a:extLst>
        </xdr:cNvPr>
        <xdr:cNvGrpSpPr/>
      </xdr:nvGrpSpPr>
      <xdr:grpSpPr>
        <a:xfrm>
          <a:off x="11538857" y="18410464"/>
          <a:ext cx="4297775" cy="510794"/>
          <a:chOff x="11904394" y="17705398"/>
          <a:chExt cx="4289329" cy="503756"/>
        </a:xfrm>
      </xdr:grpSpPr>
      <xdr:pic>
        <xdr:nvPicPr>
          <xdr:cNvPr id="6" name="Billede 5">
            <a:extLst>
              <a:ext uri="{FF2B5EF4-FFF2-40B4-BE49-F238E27FC236}">
                <a16:creationId xmlns:a16="http://schemas.microsoft.com/office/drawing/2014/main" id="{2881B23A-7788-4692-AF34-D5A49811C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7" name="Billede 6">
            <a:extLst>
              <a:ext uri="{FF2B5EF4-FFF2-40B4-BE49-F238E27FC236}">
                <a16:creationId xmlns:a16="http://schemas.microsoft.com/office/drawing/2014/main" id="{16A79A4C-FA5D-49FD-9F41-61E8B8B199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twoCellAnchor>
    <xdr:from>
      <xdr:col>24</xdr:col>
      <xdr:colOff>0</xdr:colOff>
      <xdr:row>87</xdr:row>
      <xdr:rowOff>0</xdr:rowOff>
    </xdr:from>
    <xdr:to>
      <xdr:col>27</xdr:col>
      <xdr:colOff>52346</xdr:colOff>
      <xdr:row>87</xdr:row>
      <xdr:rowOff>510794</xdr:rowOff>
    </xdr:to>
    <xdr:grpSp>
      <xdr:nvGrpSpPr>
        <xdr:cNvPr id="8" name="Gruppe 7">
          <a:extLst>
            <a:ext uri="{FF2B5EF4-FFF2-40B4-BE49-F238E27FC236}">
              <a16:creationId xmlns:a16="http://schemas.microsoft.com/office/drawing/2014/main" id="{1515FBC6-F9C0-4CE1-8089-CAE66076CD0E}"/>
            </a:ext>
          </a:extLst>
        </xdr:cNvPr>
        <xdr:cNvGrpSpPr/>
      </xdr:nvGrpSpPr>
      <xdr:grpSpPr>
        <a:xfrm>
          <a:off x="11538857" y="18410464"/>
          <a:ext cx="4297775" cy="510794"/>
          <a:chOff x="11904394" y="17705398"/>
          <a:chExt cx="4289329" cy="503756"/>
        </a:xfrm>
      </xdr:grpSpPr>
      <xdr:pic>
        <xdr:nvPicPr>
          <xdr:cNvPr id="9" name="Billede 8">
            <a:extLst>
              <a:ext uri="{FF2B5EF4-FFF2-40B4-BE49-F238E27FC236}">
                <a16:creationId xmlns:a16="http://schemas.microsoft.com/office/drawing/2014/main" id="{48228DF8-246B-4987-BAC1-27F06733CD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0" name="Billede 9">
            <a:extLst>
              <a:ext uri="{FF2B5EF4-FFF2-40B4-BE49-F238E27FC236}">
                <a16:creationId xmlns:a16="http://schemas.microsoft.com/office/drawing/2014/main" id="{0EDD13EB-A65B-49D3-A04A-EB01EA56C8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twoCellAnchor>
    <xdr:from>
      <xdr:col>24</xdr:col>
      <xdr:colOff>0</xdr:colOff>
      <xdr:row>87</xdr:row>
      <xdr:rowOff>0</xdr:rowOff>
    </xdr:from>
    <xdr:to>
      <xdr:col>27</xdr:col>
      <xdr:colOff>52346</xdr:colOff>
      <xdr:row>87</xdr:row>
      <xdr:rowOff>510794</xdr:rowOff>
    </xdr:to>
    <xdr:grpSp>
      <xdr:nvGrpSpPr>
        <xdr:cNvPr id="11" name="Gruppe 10">
          <a:extLst>
            <a:ext uri="{FF2B5EF4-FFF2-40B4-BE49-F238E27FC236}">
              <a16:creationId xmlns:a16="http://schemas.microsoft.com/office/drawing/2014/main" id="{2D231700-36D8-4548-A3C7-0ADB24F3C899}"/>
            </a:ext>
          </a:extLst>
        </xdr:cNvPr>
        <xdr:cNvGrpSpPr/>
      </xdr:nvGrpSpPr>
      <xdr:grpSpPr>
        <a:xfrm>
          <a:off x="11538857" y="18410464"/>
          <a:ext cx="4297775" cy="510794"/>
          <a:chOff x="11904394" y="17705398"/>
          <a:chExt cx="4289329" cy="503756"/>
        </a:xfrm>
      </xdr:grpSpPr>
      <xdr:pic>
        <xdr:nvPicPr>
          <xdr:cNvPr id="12" name="Billede 11">
            <a:extLst>
              <a:ext uri="{FF2B5EF4-FFF2-40B4-BE49-F238E27FC236}">
                <a16:creationId xmlns:a16="http://schemas.microsoft.com/office/drawing/2014/main" id="{0C6C2B02-20A3-47F7-8791-FB81AE01E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2242" y="17705398"/>
            <a:ext cx="1841481" cy="493728"/>
          </a:xfrm>
          <a:prstGeom prst="rect">
            <a:avLst/>
          </a:prstGeom>
        </xdr:spPr>
      </xdr:pic>
      <xdr:pic>
        <xdr:nvPicPr>
          <xdr:cNvPr id="13" name="Billede 12">
            <a:extLst>
              <a:ext uri="{FF2B5EF4-FFF2-40B4-BE49-F238E27FC236}">
                <a16:creationId xmlns:a16="http://schemas.microsoft.com/office/drawing/2014/main" id="{88B0D9CC-386B-4BCD-9420-8E10293627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04394" y="17736493"/>
            <a:ext cx="2061227" cy="47266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30416</xdr:colOff>
      <xdr:row>582</xdr:row>
      <xdr:rowOff>23548</xdr:rowOff>
    </xdr:from>
    <xdr:to>
      <xdr:col>6</xdr:col>
      <xdr:colOff>540505</xdr:colOff>
      <xdr:row>607</xdr:row>
      <xdr:rowOff>61490</xdr:rowOff>
    </xdr:to>
    <xdr:graphicFrame macro="">
      <xdr:nvGraphicFramePr>
        <xdr:cNvPr id="2" name="Diagram 16">
          <a:extLst>
            <a:ext uri="{FF2B5EF4-FFF2-40B4-BE49-F238E27FC236}">
              <a16:creationId xmlns:a16="http://schemas.microsoft.com/office/drawing/2014/main" id="{AEC3CC8C-21ED-42A6-A893-D41D322C7A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244</xdr:row>
      <xdr:rowOff>34017</xdr:rowOff>
    </xdr:from>
    <xdr:to>
      <xdr:col>7</xdr:col>
      <xdr:colOff>819973</xdr:colOff>
      <xdr:row>268</xdr:row>
      <xdr:rowOff>107817</xdr:rowOff>
    </xdr:to>
    <xdr:graphicFrame macro="">
      <xdr:nvGraphicFramePr>
        <xdr:cNvPr id="3" name="Diagram 19">
          <a:extLst>
            <a:ext uri="{FF2B5EF4-FFF2-40B4-BE49-F238E27FC236}">
              <a16:creationId xmlns:a16="http://schemas.microsoft.com/office/drawing/2014/main" id="{3DB2B054-B063-4086-BAA2-A5E8F33D0C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315</xdr:row>
      <xdr:rowOff>28576</xdr:rowOff>
    </xdr:from>
    <xdr:to>
      <xdr:col>6</xdr:col>
      <xdr:colOff>501203</xdr:colOff>
      <xdr:row>339</xdr:row>
      <xdr:rowOff>60296</xdr:rowOff>
    </xdr:to>
    <xdr:graphicFrame macro="">
      <xdr:nvGraphicFramePr>
        <xdr:cNvPr id="4" name="Diagram 21">
          <a:extLst>
            <a:ext uri="{FF2B5EF4-FFF2-40B4-BE49-F238E27FC236}">
              <a16:creationId xmlns:a16="http://schemas.microsoft.com/office/drawing/2014/main" id="{2C0557F4-EE58-4E5F-954C-37B6869661F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17368</xdr:colOff>
      <xdr:row>373</xdr:row>
      <xdr:rowOff>39781</xdr:rowOff>
    </xdr:from>
    <xdr:to>
      <xdr:col>9</xdr:col>
      <xdr:colOff>369794</xdr:colOff>
      <xdr:row>398</xdr:row>
      <xdr:rowOff>77722</xdr:rowOff>
    </xdr:to>
    <xdr:graphicFrame macro="">
      <xdr:nvGraphicFramePr>
        <xdr:cNvPr id="5" name="Diagram 21">
          <a:extLst>
            <a:ext uri="{FF2B5EF4-FFF2-40B4-BE49-F238E27FC236}">
              <a16:creationId xmlns:a16="http://schemas.microsoft.com/office/drawing/2014/main" id="{76FB5138-8652-4011-8648-186C12C75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653</xdr:row>
      <xdr:rowOff>28574</xdr:rowOff>
    </xdr:from>
    <xdr:to>
      <xdr:col>6</xdr:col>
      <xdr:colOff>557713</xdr:colOff>
      <xdr:row>678</xdr:row>
      <xdr:rowOff>66515</xdr:rowOff>
    </xdr:to>
    <xdr:graphicFrame macro="">
      <xdr:nvGraphicFramePr>
        <xdr:cNvPr id="6" name="Diagram 21">
          <a:extLst>
            <a:ext uri="{FF2B5EF4-FFF2-40B4-BE49-F238E27FC236}">
              <a16:creationId xmlns:a16="http://schemas.microsoft.com/office/drawing/2014/main" id="{A5144E07-2918-444C-80E2-C9F7A814C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463</xdr:row>
      <xdr:rowOff>33617</xdr:rowOff>
    </xdr:from>
    <xdr:to>
      <xdr:col>6</xdr:col>
      <xdr:colOff>533061</xdr:colOff>
      <xdr:row>488</xdr:row>
      <xdr:rowOff>71558</xdr:rowOff>
    </xdr:to>
    <xdr:graphicFrame macro="">
      <xdr:nvGraphicFramePr>
        <xdr:cNvPr id="7" name="Diagram 23">
          <a:extLst>
            <a:ext uri="{FF2B5EF4-FFF2-40B4-BE49-F238E27FC236}">
              <a16:creationId xmlns:a16="http://schemas.microsoft.com/office/drawing/2014/main" id="{86550B34-A147-4E19-A2D8-10824E384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63</xdr:row>
      <xdr:rowOff>38100</xdr:rowOff>
    </xdr:from>
    <xdr:to>
      <xdr:col>6</xdr:col>
      <xdr:colOff>371475</xdr:colOff>
      <xdr:row>87</xdr:row>
      <xdr:rowOff>0</xdr:rowOff>
    </xdr:to>
    <xdr:graphicFrame macro="">
      <xdr:nvGraphicFramePr>
        <xdr:cNvPr id="8" name="Diagram 15">
          <a:extLst>
            <a:ext uri="{FF2B5EF4-FFF2-40B4-BE49-F238E27FC236}">
              <a16:creationId xmlns:a16="http://schemas.microsoft.com/office/drawing/2014/main" id="{D572ED32-6D6A-453B-A480-5F7BABA2CCE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877</xdr:row>
      <xdr:rowOff>8405</xdr:rowOff>
    </xdr:from>
    <xdr:to>
      <xdr:col>6</xdr:col>
      <xdr:colOff>515692</xdr:colOff>
      <xdr:row>906</xdr:row>
      <xdr:rowOff>138817</xdr:rowOff>
    </xdr:to>
    <xdr:graphicFrame macro="">
      <xdr:nvGraphicFramePr>
        <xdr:cNvPr id="9" name="Diagram 15">
          <a:extLst>
            <a:ext uri="{FF2B5EF4-FFF2-40B4-BE49-F238E27FC236}">
              <a16:creationId xmlns:a16="http://schemas.microsoft.com/office/drawing/2014/main" id="{CB034955-51E3-413D-895E-C2C9B729E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7684</xdr:colOff>
      <xdr:row>750</xdr:row>
      <xdr:rowOff>54750</xdr:rowOff>
    </xdr:from>
    <xdr:to>
      <xdr:col>6</xdr:col>
      <xdr:colOff>517773</xdr:colOff>
      <xdr:row>780</xdr:row>
      <xdr:rowOff>28280</xdr:rowOff>
    </xdr:to>
    <xdr:graphicFrame macro="">
      <xdr:nvGraphicFramePr>
        <xdr:cNvPr id="10" name="Diagram 15">
          <a:extLst>
            <a:ext uri="{FF2B5EF4-FFF2-40B4-BE49-F238E27FC236}">
              <a16:creationId xmlns:a16="http://schemas.microsoft.com/office/drawing/2014/main" id="{3707E62A-3A78-451C-8BE9-C218D32B5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1" name="Tekstboks 14">
          <a:extLst>
            <a:ext uri="{FF2B5EF4-FFF2-40B4-BE49-F238E27FC236}">
              <a16:creationId xmlns:a16="http://schemas.microsoft.com/office/drawing/2014/main" id="{2EEA7112-A426-4410-858D-9FD99E5FCCE0}"/>
            </a:ext>
          </a:extLst>
        </xdr:cNvPr>
        <xdr:cNvSpPr txBox="1"/>
      </xdr:nvSpPr>
      <xdr:spPr>
        <a:xfrm>
          <a:off x="617883" y="155156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848</xdr:row>
      <xdr:rowOff>61071</xdr:rowOff>
    </xdr:from>
    <xdr:to>
      <xdr:col>4</xdr:col>
      <xdr:colOff>659911</xdr:colOff>
      <xdr:row>853</xdr:row>
      <xdr:rowOff>134471</xdr:rowOff>
    </xdr:to>
    <xdr:sp macro="" textlink="">
      <xdr:nvSpPr>
        <xdr:cNvPr id="12" name="Tekstboks 15">
          <a:extLst>
            <a:ext uri="{FF2B5EF4-FFF2-40B4-BE49-F238E27FC236}">
              <a16:creationId xmlns:a16="http://schemas.microsoft.com/office/drawing/2014/main" id="{03205958-70A2-495C-B89E-C7D21299872B}"/>
            </a:ext>
          </a:extLst>
        </xdr:cNvPr>
        <xdr:cNvSpPr txBox="1"/>
      </xdr:nvSpPr>
      <xdr:spPr>
        <a:xfrm>
          <a:off x="632011" y="139040346"/>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Slutforbrug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3" name="Tekstboks 16">
          <a:extLst>
            <a:ext uri="{FF2B5EF4-FFF2-40B4-BE49-F238E27FC236}">
              <a16:creationId xmlns:a16="http://schemas.microsoft.com/office/drawing/2014/main" id="{9E88AA59-2EA6-4C1A-9B3A-34341D17865B}"/>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186</xdr:row>
      <xdr:rowOff>11205</xdr:rowOff>
    </xdr:from>
    <xdr:to>
      <xdr:col>6</xdr:col>
      <xdr:colOff>495041</xdr:colOff>
      <xdr:row>210</xdr:row>
      <xdr:rowOff>52348</xdr:rowOff>
    </xdr:to>
    <xdr:graphicFrame macro="">
      <xdr:nvGraphicFramePr>
        <xdr:cNvPr id="14" name="Diagram 13">
          <a:extLst>
            <a:ext uri="{FF2B5EF4-FFF2-40B4-BE49-F238E27FC236}">
              <a16:creationId xmlns:a16="http://schemas.microsoft.com/office/drawing/2014/main" id="{1135C896-14AA-47F8-AB02-1670098AC1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3363</xdr:colOff>
      <xdr:row>215</xdr:row>
      <xdr:rowOff>11205</xdr:rowOff>
    </xdr:from>
    <xdr:to>
      <xdr:col>6</xdr:col>
      <xdr:colOff>495041</xdr:colOff>
      <xdr:row>239</xdr:row>
      <xdr:rowOff>52348</xdr:rowOff>
    </xdr:to>
    <xdr:graphicFrame macro="">
      <xdr:nvGraphicFramePr>
        <xdr:cNvPr id="15" name="Diagram 14">
          <a:extLst>
            <a:ext uri="{FF2B5EF4-FFF2-40B4-BE49-F238E27FC236}">
              <a16:creationId xmlns:a16="http://schemas.microsoft.com/office/drawing/2014/main" id="{68EEEE41-E78D-47D1-836E-C73968857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27776</xdr:colOff>
      <xdr:row>127</xdr:row>
      <xdr:rowOff>30653</xdr:rowOff>
    </xdr:from>
    <xdr:to>
      <xdr:col>7</xdr:col>
      <xdr:colOff>266700</xdr:colOff>
      <xdr:row>151</xdr:row>
      <xdr:rowOff>104453</xdr:rowOff>
    </xdr:to>
    <xdr:graphicFrame macro="">
      <xdr:nvGraphicFramePr>
        <xdr:cNvPr id="16" name="Diagram 15">
          <a:extLst>
            <a:ext uri="{FF2B5EF4-FFF2-40B4-BE49-F238E27FC236}">
              <a16:creationId xmlns:a16="http://schemas.microsoft.com/office/drawing/2014/main" id="{0CB61875-FC1C-42EB-A77C-49BCC646D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2425</xdr:colOff>
      <xdr:row>156</xdr:row>
      <xdr:rowOff>36739</xdr:rowOff>
    </xdr:from>
    <xdr:to>
      <xdr:col>6</xdr:col>
      <xdr:colOff>515875</xdr:colOff>
      <xdr:row>181</xdr:row>
      <xdr:rowOff>74681</xdr:rowOff>
    </xdr:to>
    <xdr:graphicFrame macro="">
      <xdr:nvGraphicFramePr>
        <xdr:cNvPr id="17" name="Diagram 16">
          <a:extLst>
            <a:ext uri="{FF2B5EF4-FFF2-40B4-BE49-F238E27FC236}">
              <a16:creationId xmlns:a16="http://schemas.microsoft.com/office/drawing/2014/main" id="{0080C7E5-FC88-437F-A96B-6F91DD4BB0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22413</xdr:colOff>
      <xdr:row>273</xdr:row>
      <xdr:rowOff>44821</xdr:rowOff>
    </xdr:from>
    <xdr:to>
      <xdr:col>6</xdr:col>
      <xdr:colOff>532502</xdr:colOff>
      <xdr:row>298</xdr:row>
      <xdr:rowOff>82762</xdr:rowOff>
    </xdr:to>
    <xdr:graphicFrame macro="">
      <xdr:nvGraphicFramePr>
        <xdr:cNvPr id="18" name="Diagram 17">
          <a:extLst>
            <a:ext uri="{FF2B5EF4-FFF2-40B4-BE49-F238E27FC236}">
              <a16:creationId xmlns:a16="http://schemas.microsoft.com/office/drawing/2014/main" id="{EECAB88F-007C-4729-B0CC-F6CFA773B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27214</xdr:colOff>
      <xdr:row>612</xdr:row>
      <xdr:rowOff>23933</xdr:rowOff>
    </xdr:from>
    <xdr:to>
      <xdr:col>6</xdr:col>
      <xdr:colOff>537303</xdr:colOff>
      <xdr:row>637</xdr:row>
      <xdr:rowOff>61875</xdr:rowOff>
    </xdr:to>
    <xdr:graphicFrame macro="">
      <xdr:nvGraphicFramePr>
        <xdr:cNvPr id="19" name="Diagram 18">
          <a:extLst>
            <a:ext uri="{FF2B5EF4-FFF2-40B4-BE49-F238E27FC236}">
              <a16:creationId xmlns:a16="http://schemas.microsoft.com/office/drawing/2014/main" id="{A03BD118-6FFB-4DF5-A03F-9759B44DBF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27216</xdr:colOff>
      <xdr:row>344</xdr:row>
      <xdr:rowOff>36738</xdr:rowOff>
    </xdr:from>
    <xdr:to>
      <xdr:col>6</xdr:col>
      <xdr:colOff>518894</xdr:colOff>
      <xdr:row>368</xdr:row>
      <xdr:rowOff>77881</xdr:rowOff>
    </xdr:to>
    <xdr:graphicFrame macro="">
      <xdr:nvGraphicFramePr>
        <xdr:cNvPr id="20" name="Diagram 19">
          <a:extLst>
            <a:ext uri="{FF2B5EF4-FFF2-40B4-BE49-F238E27FC236}">
              <a16:creationId xmlns:a16="http://schemas.microsoft.com/office/drawing/2014/main" id="{768E0731-06AB-48DF-92C5-5DF86B3B3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560292</xdr:colOff>
      <xdr:row>419</xdr:row>
      <xdr:rowOff>26173</xdr:rowOff>
    </xdr:from>
    <xdr:to>
      <xdr:col>6</xdr:col>
      <xdr:colOff>465263</xdr:colOff>
      <xdr:row>444</xdr:row>
      <xdr:rowOff>64115</xdr:rowOff>
    </xdr:to>
    <xdr:graphicFrame macro="">
      <xdr:nvGraphicFramePr>
        <xdr:cNvPr id="21" name="Diagram 20">
          <a:extLst>
            <a:ext uri="{FF2B5EF4-FFF2-40B4-BE49-F238E27FC236}">
              <a16:creationId xmlns:a16="http://schemas.microsoft.com/office/drawing/2014/main" id="{9A5C6232-F8AE-43BB-96AE-425E04CEE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493</xdr:row>
      <xdr:rowOff>0</xdr:rowOff>
    </xdr:from>
    <xdr:to>
      <xdr:col>6</xdr:col>
      <xdr:colOff>510089</xdr:colOff>
      <xdr:row>518</xdr:row>
      <xdr:rowOff>37941</xdr:rowOff>
    </xdr:to>
    <xdr:graphicFrame macro="">
      <xdr:nvGraphicFramePr>
        <xdr:cNvPr id="22" name="Diagram 23">
          <a:extLst>
            <a:ext uri="{FF2B5EF4-FFF2-40B4-BE49-F238E27FC236}">
              <a16:creationId xmlns:a16="http://schemas.microsoft.com/office/drawing/2014/main" id="{867C46C1-FCEF-4326-8814-672DF50B51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11766</xdr:colOff>
      <xdr:row>523</xdr:row>
      <xdr:rowOff>44823</xdr:rowOff>
    </xdr:from>
    <xdr:to>
      <xdr:col>6</xdr:col>
      <xdr:colOff>521855</xdr:colOff>
      <xdr:row>548</xdr:row>
      <xdr:rowOff>82764</xdr:rowOff>
    </xdr:to>
    <xdr:graphicFrame macro="">
      <xdr:nvGraphicFramePr>
        <xdr:cNvPr id="23" name="Diagram 23">
          <a:extLst>
            <a:ext uri="{FF2B5EF4-FFF2-40B4-BE49-F238E27FC236}">
              <a16:creationId xmlns:a16="http://schemas.microsoft.com/office/drawing/2014/main" id="{B45AF058-A9A2-44F8-8EB7-1C289645E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553</xdr:row>
      <xdr:rowOff>33616</xdr:rowOff>
    </xdr:from>
    <xdr:to>
      <xdr:col>4</xdr:col>
      <xdr:colOff>649940</xdr:colOff>
      <xdr:row>559</xdr:row>
      <xdr:rowOff>100853</xdr:rowOff>
    </xdr:to>
    <xdr:sp macro="" textlink="">
      <xdr:nvSpPr>
        <xdr:cNvPr id="24" name="Tekstboks 27">
          <a:extLst>
            <a:ext uri="{FF2B5EF4-FFF2-40B4-BE49-F238E27FC236}">
              <a16:creationId xmlns:a16="http://schemas.microsoft.com/office/drawing/2014/main" id="{EE7FF09D-791A-43B1-9116-D366F75B4545}"/>
            </a:ext>
          </a:extLst>
        </xdr:cNvPr>
        <xdr:cNvSpPr txBox="1"/>
      </xdr:nvSpPr>
      <xdr:spPr>
        <a:xfrm>
          <a:off x="620805" y="905973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683</xdr:row>
      <xdr:rowOff>28574</xdr:rowOff>
    </xdr:from>
    <xdr:to>
      <xdr:col>6</xdr:col>
      <xdr:colOff>576763</xdr:colOff>
      <xdr:row>708</xdr:row>
      <xdr:rowOff>66516</xdr:rowOff>
    </xdr:to>
    <xdr:graphicFrame macro="">
      <xdr:nvGraphicFramePr>
        <xdr:cNvPr id="25" name="Diagram 21">
          <a:extLst>
            <a:ext uri="{FF2B5EF4-FFF2-40B4-BE49-F238E27FC236}">
              <a16:creationId xmlns:a16="http://schemas.microsoft.com/office/drawing/2014/main" id="{A4207A6B-C5C3-4103-ABA3-86DC33A50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33618</xdr:colOff>
      <xdr:row>720</xdr:row>
      <xdr:rowOff>145677</xdr:rowOff>
    </xdr:from>
    <xdr:to>
      <xdr:col>4</xdr:col>
      <xdr:colOff>674479</xdr:colOff>
      <xdr:row>726</xdr:row>
      <xdr:rowOff>141084</xdr:rowOff>
    </xdr:to>
    <xdr:sp macro="" textlink="">
      <xdr:nvSpPr>
        <xdr:cNvPr id="26" name="Tekstboks 29">
          <a:extLst>
            <a:ext uri="{FF2B5EF4-FFF2-40B4-BE49-F238E27FC236}">
              <a16:creationId xmlns:a16="http://schemas.microsoft.com/office/drawing/2014/main" id="{5123ABF1-9AB0-40FE-99FA-D5246250D313}"/>
            </a:ext>
          </a:extLst>
        </xdr:cNvPr>
        <xdr:cNvSpPr txBox="1"/>
      </xdr:nvSpPr>
      <xdr:spPr>
        <a:xfrm>
          <a:off x="643218" y="118131852"/>
          <a:ext cx="5403361" cy="96695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Udvidede endelige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udvidede endelige energiforbrug fremkommer ved at tage det endelige energiforbrug og lægge distributionstabet fra elektricitets- og fjernvarmedistribution oveni, samt egetforbruget af elektricitet og fjernvarme ved samproduktion af disse på værker.</a:t>
          </a:r>
        </a:p>
      </xdr:txBody>
    </xdr:sp>
    <xdr:clientData/>
  </xdr:twoCellAnchor>
  <xdr:twoCellAnchor>
    <xdr:from>
      <xdr:col>1</xdr:col>
      <xdr:colOff>44823</xdr:colOff>
      <xdr:row>713</xdr:row>
      <xdr:rowOff>112058</xdr:rowOff>
    </xdr:from>
    <xdr:to>
      <xdr:col>4</xdr:col>
      <xdr:colOff>685684</xdr:colOff>
      <xdr:row>719</xdr:row>
      <xdr:rowOff>107466</xdr:rowOff>
    </xdr:to>
    <xdr:sp macro="" textlink="">
      <xdr:nvSpPr>
        <xdr:cNvPr id="27" name="Tekstboks 30">
          <a:extLst>
            <a:ext uri="{FF2B5EF4-FFF2-40B4-BE49-F238E27FC236}">
              <a16:creationId xmlns:a16="http://schemas.microsoft.com/office/drawing/2014/main" id="{425F9646-50C8-46E4-A44B-3C6B137874DC}"/>
            </a:ext>
          </a:extLst>
        </xdr:cNvPr>
        <xdr:cNvSpPr txBox="1"/>
      </xdr:nvSpPr>
      <xdr:spPr>
        <a:xfrm>
          <a:off x="654423" y="116964758"/>
          <a:ext cx="5403361" cy="966958"/>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Endeligt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leveret til slutbrugeren (an forbruger), eksempelvis boliger, offentlig service eller fremstillingsvirksomheder. Den leverede energi anvendes derefter til fremstilling af varer og tjenester, rumopvarmning, belysning og andet apparatforbrug samt transport.</a:t>
          </a:r>
        </a:p>
      </xdr:txBody>
    </xdr:sp>
    <xdr:clientData/>
  </xdr:twoCellAnchor>
  <xdr:twoCellAnchor>
    <xdr:from>
      <xdr:col>0</xdr:col>
      <xdr:colOff>609599</xdr:colOff>
      <xdr:row>785</xdr:row>
      <xdr:rowOff>23811</xdr:rowOff>
    </xdr:from>
    <xdr:to>
      <xdr:col>6</xdr:col>
      <xdr:colOff>733424</xdr:colOff>
      <xdr:row>814</xdr:row>
      <xdr:rowOff>95249</xdr:rowOff>
    </xdr:to>
    <xdr:graphicFrame macro="">
      <xdr:nvGraphicFramePr>
        <xdr:cNvPr id="28" name="Diagram 27">
          <a:extLst>
            <a:ext uri="{FF2B5EF4-FFF2-40B4-BE49-F238E27FC236}">
              <a16:creationId xmlns:a16="http://schemas.microsoft.com/office/drawing/2014/main" id="{2B7778F4-A28D-4329-BFBE-B2EAA7439D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1361</xdr:colOff>
      <xdr:row>819</xdr:row>
      <xdr:rowOff>12926</xdr:rowOff>
    </xdr:from>
    <xdr:to>
      <xdr:col>6</xdr:col>
      <xdr:colOff>518892</xdr:colOff>
      <xdr:row>843</xdr:row>
      <xdr:rowOff>86727</xdr:rowOff>
    </xdr:to>
    <xdr:graphicFrame macro="">
      <xdr:nvGraphicFramePr>
        <xdr:cNvPr id="29" name="Diagram 28">
          <a:extLst>
            <a:ext uri="{FF2B5EF4-FFF2-40B4-BE49-F238E27FC236}">
              <a16:creationId xmlns:a16="http://schemas.microsoft.com/office/drawing/2014/main" id="{9D839C21-8ADE-40EF-BE10-74F6F19B8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11205</xdr:colOff>
      <xdr:row>955</xdr:row>
      <xdr:rowOff>34737</xdr:rowOff>
    </xdr:from>
    <xdr:to>
      <xdr:col>6</xdr:col>
      <xdr:colOff>521294</xdr:colOff>
      <xdr:row>980</xdr:row>
      <xdr:rowOff>72679</xdr:rowOff>
    </xdr:to>
    <xdr:graphicFrame macro="">
      <xdr:nvGraphicFramePr>
        <xdr:cNvPr id="30" name="Diagram 29">
          <a:extLst>
            <a:ext uri="{FF2B5EF4-FFF2-40B4-BE49-F238E27FC236}">
              <a16:creationId xmlns:a16="http://schemas.microsoft.com/office/drawing/2014/main" id="{5D9D6759-51AD-4761-A1E0-D91D1675D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925</xdr:row>
      <xdr:rowOff>23531</xdr:rowOff>
    </xdr:from>
    <xdr:to>
      <xdr:col>6</xdr:col>
      <xdr:colOff>510089</xdr:colOff>
      <xdr:row>950</xdr:row>
      <xdr:rowOff>61472</xdr:rowOff>
    </xdr:to>
    <xdr:graphicFrame macro="">
      <xdr:nvGraphicFramePr>
        <xdr:cNvPr id="31" name="Diagram 30">
          <a:extLst>
            <a:ext uri="{FF2B5EF4-FFF2-40B4-BE49-F238E27FC236}">
              <a16:creationId xmlns:a16="http://schemas.microsoft.com/office/drawing/2014/main" id="{21B4FA04-1ECD-4704-AFE9-482A38065C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602876</xdr:colOff>
      <xdr:row>985</xdr:row>
      <xdr:rowOff>55750</xdr:rowOff>
    </xdr:from>
    <xdr:to>
      <xdr:col>6</xdr:col>
      <xdr:colOff>511208</xdr:colOff>
      <xdr:row>1009</xdr:row>
      <xdr:rowOff>129551</xdr:rowOff>
    </xdr:to>
    <xdr:graphicFrame macro="">
      <xdr:nvGraphicFramePr>
        <xdr:cNvPr id="32" name="Diagram 31">
          <a:extLst>
            <a:ext uri="{FF2B5EF4-FFF2-40B4-BE49-F238E27FC236}">
              <a16:creationId xmlns:a16="http://schemas.microsoft.com/office/drawing/2014/main" id="{67C41F36-DA65-4E36-9959-E0DB028008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110140</xdr:colOff>
      <xdr:row>2</xdr:row>
      <xdr:rowOff>56030</xdr:rowOff>
    </xdr:from>
    <xdr:to>
      <xdr:col>15</xdr:col>
      <xdr:colOff>461656</xdr:colOff>
      <xdr:row>48</xdr:row>
      <xdr:rowOff>0</xdr:rowOff>
    </xdr:to>
    <xdr:grpSp>
      <xdr:nvGrpSpPr>
        <xdr:cNvPr id="33" name="Gruppe 32">
          <a:extLst>
            <a:ext uri="{FF2B5EF4-FFF2-40B4-BE49-F238E27FC236}">
              <a16:creationId xmlns:a16="http://schemas.microsoft.com/office/drawing/2014/main" id="{9611BF00-BCEB-4753-BFD3-B9EDB4452936}"/>
            </a:ext>
          </a:extLst>
        </xdr:cNvPr>
        <xdr:cNvGrpSpPr/>
      </xdr:nvGrpSpPr>
      <xdr:grpSpPr>
        <a:xfrm>
          <a:off x="110140" y="518673"/>
          <a:ext cx="16693695" cy="7455113"/>
          <a:chOff x="110140" y="513230"/>
          <a:chExt cx="16639266" cy="7392520"/>
        </a:xfrm>
      </xdr:grpSpPr>
      <xdr:grpSp>
        <xdr:nvGrpSpPr>
          <xdr:cNvPr id="34" name="Gruppe 33">
            <a:extLst>
              <a:ext uri="{FF2B5EF4-FFF2-40B4-BE49-F238E27FC236}">
                <a16:creationId xmlns:a16="http://schemas.microsoft.com/office/drawing/2014/main" id="{67EDFA63-164E-4561-A38F-D8D47542B13F}"/>
              </a:ext>
            </a:extLst>
          </xdr:cNvPr>
          <xdr:cNvGrpSpPr/>
        </xdr:nvGrpSpPr>
        <xdr:grpSpPr>
          <a:xfrm>
            <a:off x="112741" y="513230"/>
            <a:ext cx="3239870" cy="1908865"/>
            <a:chOff x="112742" y="504265"/>
            <a:chExt cx="3240961" cy="1848969"/>
          </a:xfrm>
        </xdr:grpSpPr>
        <xdr:sp macro="" textlink="">
          <xdr:nvSpPr>
            <xdr:cNvPr id="71" name="Rektangel 70">
              <a:extLst>
                <a:ext uri="{FF2B5EF4-FFF2-40B4-BE49-F238E27FC236}">
                  <a16:creationId xmlns:a16="http://schemas.microsoft.com/office/drawing/2014/main" id="{2694F98C-D26D-4FF2-AD22-7090084AFFB1}"/>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2" name="Rektangel 71">
              <a:hlinkClick xmlns:r="http://schemas.openxmlformats.org/officeDocument/2006/relationships" r:id="rId26"/>
              <a:extLst>
                <a:ext uri="{FF2B5EF4-FFF2-40B4-BE49-F238E27FC236}">
                  <a16:creationId xmlns:a16="http://schemas.microsoft.com/office/drawing/2014/main" id="{AE77A615-7F43-4818-91AA-DAC4D31A759B}"/>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grpSp>
        <xdr:nvGrpSpPr>
          <xdr:cNvPr id="35" name="Gruppe 34">
            <a:extLst>
              <a:ext uri="{FF2B5EF4-FFF2-40B4-BE49-F238E27FC236}">
                <a16:creationId xmlns:a16="http://schemas.microsoft.com/office/drawing/2014/main" id="{2D9378F5-5189-474D-99BC-650576A3D304}"/>
              </a:ext>
            </a:extLst>
          </xdr:cNvPr>
          <xdr:cNvGrpSpPr/>
        </xdr:nvGrpSpPr>
        <xdr:grpSpPr>
          <a:xfrm>
            <a:off x="110140" y="2537790"/>
            <a:ext cx="3239870" cy="4442448"/>
            <a:chOff x="110140" y="2465299"/>
            <a:chExt cx="3240961" cy="4303054"/>
          </a:xfrm>
        </xdr:grpSpPr>
        <xdr:sp macro="" textlink="">
          <xdr:nvSpPr>
            <xdr:cNvPr id="66" name="Rektangel 65">
              <a:extLst>
                <a:ext uri="{FF2B5EF4-FFF2-40B4-BE49-F238E27FC236}">
                  <a16:creationId xmlns:a16="http://schemas.microsoft.com/office/drawing/2014/main" id="{F9FDA802-4512-45A2-8552-B9E3A2864C1B}"/>
                </a:ext>
              </a:extLst>
            </xdr:cNvPr>
            <xdr:cNvSpPr/>
          </xdr:nvSpPr>
          <xdr:spPr>
            <a:xfrm>
              <a:off x="110140" y="2465299"/>
              <a:ext cx="3240961" cy="43030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67" name="Rektangel 66">
              <a:hlinkClick xmlns:r="http://schemas.openxmlformats.org/officeDocument/2006/relationships" r:id="rId27"/>
              <a:extLst>
                <a:ext uri="{FF2B5EF4-FFF2-40B4-BE49-F238E27FC236}">
                  <a16:creationId xmlns:a16="http://schemas.microsoft.com/office/drawing/2014/main" id="{317376F4-CF28-4A03-BC40-AB34420A9EF1}"/>
                </a:ext>
              </a:extLst>
            </xdr:cNvPr>
            <xdr:cNvSpPr/>
          </xdr:nvSpPr>
          <xdr:spPr>
            <a:xfrm>
              <a:off x="274910" y="3091468"/>
              <a:ext cx="2886644" cy="75998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brændsler</a:t>
              </a:r>
            </a:p>
          </xdr:txBody>
        </xdr:sp>
        <xdr:sp macro="" textlink="">
          <xdr:nvSpPr>
            <xdr:cNvPr id="68" name="Rektangel 67">
              <a:hlinkClick xmlns:r="http://schemas.openxmlformats.org/officeDocument/2006/relationships" r:id="rId28"/>
              <a:extLst>
                <a:ext uri="{FF2B5EF4-FFF2-40B4-BE49-F238E27FC236}">
                  <a16:creationId xmlns:a16="http://schemas.microsoft.com/office/drawing/2014/main" id="{57054069-3574-4242-92E9-C74D084F49E8}"/>
                </a:ext>
              </a:extLst>
            </xdr:cNvPr>
            <xdr:cNvSpPr/>
          </xdr:nvSpPr>
          <xdr:spPr>
            <a:xfrm>
              <a:off x="274910" y="4003466"/>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opdelt på brændsler for basisår</a:t>
              </a:r>
            </a:p>
          </xdr:txBody>
        </xdr:sp>
        <xdr:sp macro="" textlink="">
          <xdr:nvSpPr>
            <xdr:cNvPr id="69" name="Rektangel 68">
              <a:hlinkClick xmlns:r="http://schemas.openxmlformats.org/officeDocument/2006/relationships" r:id="rId29"/>
              <a:extLst>
                <a:ext uri="{FF2B5EF4-FFF2-40B4-BE49-F238E27FC236}">
                  <a16:creationId xmlns:a16="http://schemas.microsoft.com/office/drawing/2014/main" id="{07406520-7DFD-44A8-AA3E-FFC187F4DFD4}"/>
                </a:ext>
              </a:extLst>
            </xdr:cNvPr>
            <xdr:cNvSpPr/>
          </xdr:nvSpPr>
          <xdr:spPr>
            <a:xfrm>
              <a:off x="286116" y="4889524"/>
              <a:ext cx="2886644"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a:t>
              </a:r>
            </a:p>
          </xdr:txBody>
        </xdr:sp>
        <xdr:sp macro="" textlink="">
          <xdr:nvSpPr>
            <xdr:cNvPr id="70" name="Rektangel 69">
              <a:hlinkClick xmlns:r="http://schemas.openxmlformats.org/officeDocument/2006/relationships" r:id="rId30"/>
              <a:extLst>
                <a:ext uri="{FF2B5EF4-FFF2-40B4-BE49-F238E27FC236}">
                  <a16:creationId xmlns:a16="http://schemas.microsoft.com/office/drawing/2014/main" id="{D30E0F25-C4B5-40CC-BACC-A30A2A852583}"/>
                </a:ext>
              </a:extLst>
            </xdr:cNvPr>
            <xdr:cNvSpPr/>
          </xdr:nvSpPr>
          <xdr:spPr>
            <a:xfrm>
              <a:off x="287797" y="5774230"/>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 for basisår</a:t>
              </a:r>
            </a:p>
          </xdr:txBody>
        </xdr:sp>
      </xdr:grpSp>
      <xdr:grpSp>
        <xdr:nvGrpSpPr>
          <xdr:cNvPr id="36" name="Gruppe 35">
            <a:extLst>
              <a:ext uri="{FF2B5EF4-FFF2-40B4-BE49-F238E27FC236}">
                <a16:creationId xmlns:a16="http://schemas.microsoft.com/office/drawing/2014/main" id="{3D28770D-EAA7-4CAF-897B-37472BE03447}"/>
              </a:ext>
            </a:extLst>
          </xdr:cNvPr>
          <xdr:cNvGrpSpPr/>
        </xdr:nvGrpSpPr>
        <xdr:grpSpPr>
          <a:xfrm>
            <a:off x="13508815" y="528930"/>
            <a:ext cx="3240591" cy="4565580"/>
            <a:chOff x="13513327" y="519472"/>
            <a:chExt cx="3241682" cy="4422322"/>
          </a:xfrm>
        </xdr:grpSpPr>
        <xdr:sp macro="" textlink="">
          <xdr:nvSpPr>
            <xdr:cNvPr id="61" name="Rektangel 60">
              <a:extLst>
                <a:ext uri="{FF2B5EF4-FFF2-40B4-BE49-F238E27FC236}">
                  <a16:creationId xmlns:a16="http://schemas.microsoft.com/office/drawing/2014/main" id="{9D67838D-7258-4C37-B1F9-4F4CA333D83A}"/>
                </a:ext>
              </a:extLst>
            </xdr:cNvPr>
            <xdr:cNvSpPr/>
          </xdr:nvSpPr>
          <xdr:spPr>
            <a:xfrm>
              <a:off x="13513327" y="519472"/>
              <a:ext cx="3241682" cy="442232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2" name="Rektangel 61">
              <a:hlinkClick xmlns:r="http://schemas.openxmlformats.org/officeDocument/2006/relationships" r:id="rId31"/>
              <a:extLst>
                <a:ext uri="{FF2B5EF4-FFF2-40B4-BE49-F238E27FC236}">
                  <a16:creationId xmlns:a16="http://schemas.microsoft.com/office/drawing/2014/main" id="{675F55B6-BC3B-427E-8FD9-7BF29377EBBE}"/>
                </a:ext>
              </a:extLst>
            </xdr:cNvPr>
            <xdr:cNvSpPr/>
          </xdr:nvSpPr>
          <xdr:spPr>
            <a:xfrm>
              <a:off x="13689896" y="3939508"/>
              <a:ext cx="2885043" cy="766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a:t> (produktion fordelt på brændsel)</a:t>
              </a:r>
            </a:p>
          </xdr:txBody>
        </xdr:sp>
        <xdr:sp macro="" textlink="">
          <xdr:nvSpPr>
            <xdr:cNvPr id="63" name="Rektangel 62">
              <a:hlinkClick xmlns:r="http://schemas.openxmlformats.org/officeDocument/2006/relationships" r:id="rId32"/>
              <a:extLst>
                <a:ext uri="{FF2B5EF4-FFF2-40B4-BE49-F238E27FC236}">
                  <a16:creationId xmlns:a16="http://schemas.microsoft.com/office/drawing/2014/main" id="{C15B4D6C-A2C7-428F-ACD2-E234E9A846A7}"/>
                </a:ext>
              </a:extLst>
            </xdr:cNvPr>
            <xdr:cNvSpPr/>
          </xdr:nvSpPr>
          <xdr:spPr>
            <a:xfrm>
              <a:off x="13685172" y="1247455"/>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anlægstype)</a:t>
              </a:r>
            </a:p>
          </xdr:txBody>
        </xdr:sp>
        <xdr:sp macro="" textlink="">
          <xdr:nvSpPr>
            <xdr:cNvPr id="64" name="Rektangel 63">
              <a:hlinkClick xmlns:r="http://schemas.openxmlformats.org/officeDocument/2006/relationships" r:id="rId33"/>
              <a:extLst>
                <a:ext uri="{FF2B5EF4-FFF2-40B4-BE49-F238E27FC236}">
                  <a16:creationId xmlns:a16="http://schemas.microsoft.com/office/drawing/2014/main" id="{381F9036-44C3-421A-ABAE-77BC3CF15E39}"/>
                </a:ext>
              </a:extLst>
            </xdr:cNvPr>
            <xdr:cNvSpPr/>
          </xdr:nvSpPr>
          <xdr:spPr>
            <a:xfrm>
              <a:off x="13686855" y="2154331"/>
              <a:ext cx="2885043"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brændsel)</a:t>
              </a:r>
            </a:p>
          </xdr:txBody>
        </xdr:sp>
        <xdr:sp macro="" textlink="">
          <xdr:nvSpPr>
            <xdr:cNvPr id="65" name="Rektangel 64">
              <a:hlinkClick xmlns:r="http://schemas.openxmlformats.org/officeDocument/2006/relationships" r:id="rId34"/>
              <a:extLst>
                <a:ext uri="{FF2B5EF4-FFF2-40B4-BE49-F238E27FC236}">
                  <a16:creationId xmlns:a16="http://schemas.microsoft.com/office/drawing/2014/main" id="{A18C1291-0F0D-4E21-AD37-D181F8DC99E8}"/>
                </a:ext>
              </a:extLst>
            </xdr:cNvPr>
            <xdr:cNvSpPr/>
          </xdr:nvSpPr>
          <xdr:spPr>
            <a:xfrm>
              <a:off x="13694379" y="3047521"/>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baseline="0"/>
                <a:t> </a:t>
              </a:r>
              <a:r>
                <a:rPr lang="da-DK" sz="1400" b="1"/>
                <a:t>(produktion fordelt på anlægstype)</a:t>
              </a:r>
            </a:p>
          </xdr:txBody>
        </xdr:sp>
      </xdr:grpSp>
      <xdr:grpSp>
        <xdr:nvGrpSpPr>
          <xdr:cNvPr id="37" name="Gruppe 36">
            <a:extLst>
              <a:ext uri="{FF2B5EF4-FFF2-40B4-BE49-F238E27FC236}">
                <a16:creationId xmlns:a16="http://schemas.microsoft.com/office/drawing/2014/main" id="{FB08CAF6-BA33-4F87-AC80-8D1727BE2041}"/>
              </a:ext>
            </a:extLst>
          </xdr:cNvPr>
          <xdr:cNvGrpSpPr/>
        </xdr:nvGrpSpPr>
        <xdr:grpSpPr>
          <a:xfrm>
            <a:off x="3473334" y="529341"/>
            <a:ext cx="6479499" cy="7376409"/>
            <a:chOff x="3474467" y="519870"/>
            <a:chExt cx="6481681" cy="7144954"/>
          </a:xfrm>
        </xdr:grpSpPr>
        <xdr:sp macro="" textlink="">
          <xdr:nvSpPr>
            <xdr:cNvPr id="47" name="Rektangel 46">
              <a:extLst>
                <a:ext uri="{FF2B5EF4-FFF2-40B4-BE49-F238E27FC236}">
                  <a16:creationId xmlns:a16="http://schemas.microsoft.com/office/drawing/2014/main" id="{7B23E974-E5BB-44F4-9C32-26A22F77AFB6}"/>
                </a:ext>
              </a:extLst>
            </xdr:cNvPr>
            <xdr:cNvSpPr/>
          </xdr:nvSpPr>
          <xdr:spPr>
            <a:xfrm>
              <a:off x="3474467" y="519870"/>
              <a:ext cx="6481681"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48" name="Rektangel 47">
              <a:hlinkClick xmlns:r="http://schemas.openxmlformats.org/officeDocument/2006/relationships" r:id="rId35"/>
              <a:extLst>
                <a:ext uri="{FF2B5EF4-FFF2-40B4-BE49-F238E27FC236}">
                  <a16:creationId xmlns:a16="http://schemas.microsoft.com/office/drawing/2014/main" id="{8076CA3A-2153-48A2-972C-4D40171271A9}"/>
                </a:ext>
              </a:extLst>
            </xdr:cNvPr>
            <xdr:cNvSpPr/>
          </xdr:nvSpPr>
          <xdr:spPr>
            <a:xfrm>
              <a:off x="3685578" y="1318079"/>
              <a:ext cx="2885042"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49" name="Rektangel 48">
              <a:hlinkClick xmlns:r="http://schemas.openxmlformats.org/officeDocument/2006/relationships" r:id="rId36"/>
              <a:extLst>
                <a:ext uri="{FF2B5EF4-FFF2-40B4-BE49-F238E27FC236}">
                  <a16:creationId xmlns:a16="http://schemas.microsoft.com/office/drawing/2014/main" id="{16F9B15F-62FF-4535-A908-638FCA7367EC}"/>
                </a:ext>
              </a:extLst>
            </xdr:cNvPr>
            <xdr:cNvSpPr/>
          </xdr:nvSpPr>
          <xdr:spPr>
            <a:xfrm>
              <a:off x="3687380" y="2204121"/>
              <a:ext cx="2885042"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0" name="Rektangel 49">
              <a:hlinkClick xmlns:r="http://schemas.openxmlformats.org/officeDocument/2006/relationships" r:id="rId37"/>
              <a:extLst>
                <a:ext uri="{FF2B5EF4-FFF2-40B4-BE49-F238E27FC236}">
                  <a16:creationId xmlns:a16="http://schemas.microsoft.com/office/drawing/2014/main" id="{228AEB25-D656-400D-A57C-8C0CCFB33242}"/>
                </a:ext>
              </a:extLst>
            </xdr:cNvPr>
            <xdr:cNvSpPr/>
          </xdr:nvSpPr>
          <xdr:spPr>
            <a:xfrm>
              <a:off x="3698586" y="3092188"/>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1" name="Rektangel 50">
              <a:hlinkClick xmlns:r="http://schemas.openxmlformats.org/officeDocument/2006/relationships" r:id="rId38"/>
              <a:extLst>
                <a:ext uri="{FF2B5EF4-FFF2-40B4-BE49-F238E27FC236}">
                  <a16:creationId xmlns:a16="http://schemas.microsoft.com/office/drawing/2014/main" id="{66FD5281-D664-4A87-96B3-F6FBE382FACE}"/>
                </a:ext>
              </a:extLst>
            </xdr:cNvPr>
            <xdr:cNvSpPr/>
          </xdr:nvSpPr>
          <xdr:spPr>
            <a:xfrm>
              <a:off x="3687380" y="3989779"/>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2" name="Rektangel 51">
              <a:hlinkClick xmlns:r="http://schemas.openxmlformats.org/officeDocument/2006/relationships" r:id="rId39"/>
              <a:extLst>
                <a:ext uri="{FF2B5EF4-FFF2-40B4-BE49-F238E27FC236}">
                  <a16:creationId xmlns:a16="http://schemas.microsoft.com/office/drawing/2014/main" id="{BC81B2A9-DEED-4033-8ED7-618F1B505AC3}"/>
                </a:ext>
              </a:extLst>
            </xdr:cNvPr>
            <xdr:cNvSpPr/>
          </xdr:nvSpPr>
          <xdr:spPr>
            <a:xfrm>
              <a:off x="3685699" y="4869441"/>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3" name="Rektangel 52">
              <a:hlinkClick xmlns:r="http://schemas.openxmlformats.org/officeDocument/2006/relationships" r:id="rId40"/>
              <a:extLst>
                <a:ext uri="{FF2B5EF4-FFF2-40B4-BE49-F238E27FC236}">
                  <a16:creationId xmlns:a16="http://schemas.microsoft.com/office/drawing/2014/main" id="{A11D6264-1DDA-465E-8717-95E7A382E554}"/>
                </a:ext>
              </a:extLst>
            </xdr:cNvPr>
            <xdr:cNvSpPr/>
          </xdr:nvSpPr>
          <xdr:spPr>
            <a:xfrm>
              <a:off x="3687380" y="5765352"/>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54" name="Rektangel 53">
              <a:hlinkClick xmlns:r="http://schemas.openxmlformats.org/officeDocument/2006/relationships" r:id="rId41"/>
              <a:extLst>
                <a:ext uri="{FF2B5EF4-FFF2-40B4-BE49-F238E27FC236}">
                  <a16:creationId xmlns:a16="http://schemas.microsoft.com/office/drawing/2014/main" id="{99473B81-41F6-44DA-9465-7C0DA57EE37F}"/>
                </a:ext>
              </a:extLst>
            </xdr:cNvPr>
            <xdr:cNvSpPr/>
          </xdr:nvSpPr>
          <xdr:spPr>
            <a:xfrm>
              <a:off x="6839791" y="4870346"/>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5" name="Rektangel 54">
              <a:hlinkClick xmlns:r="http://schemas.openxmlformats.org/officeDocument/2006/relationships" r:id="rId42"/>
              <a:extLst>
                <a:ext uri="{FF2B5EF4-FFF2-40B4-BE49-F238E27FC236}">
                  <a16:creationId xmlns:a16="http://schemas.microsoft.com/office/drawing/2014/main" id="{66905DE0-8CD7-4A3F-B514-B645A2FEC422}"/>
                </a:ext>
              </a:extLst>
            </xdr:cNvPr>
            <xdr:cNvSpPr/>
          </xdr:nvSpPr>
          <xdr:spPr>
            <a:xfrm>
              <a:off x="6848161" y="5755267"/>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56" name="Rektangel 55">
              <a:hlinkClick xmlns:r="http://schemas.openxmlformats.org/officeDocument/2006/relationships" r:id="rId43"/>
              <a:extLst>
                <a:ext uri="{FF2B5EF4-FFF2-40B4-BE49-F238E27FC236}">
                  <a16:creationId xmlns:a16="http://schemas.microsoft.com/office/drawing/2014/main" id="{72675CFE-90C6-4561-8CC8-077057CA1E23}"/>
                </a:ext>
              </a:extLst>
            </xdr:cNvPr>
            <xdr:cNvSpPr/>
          </xdr:nvSpPr>
          <xdr:spPr>
            <a:xfrm>
              <a:off x="6844800" y="6647815"/>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a:t>
              </a:r>
            </a:p>
          </xdr:txBody>
        </xdr:sp>
        <xdr:sp macro="" textlink="">
          <xdr:nvSpPr>
            <xdr:cNvPr id="57" name="Rektangel 56">
              <a:hlinkClick xmlns:r="http://schemas.openxmlformats.org/officeDocument/2006/relationships" r:id="rId44"/>
              <a:extLst>
                <a:ext uri="{FF2B5EF4-FFF2-40B4-BE49-F238E27FC236}">
                  <a16:creationId xmlns:a16="http://schemas.microsoft.com/office/drawing/2014/main" id="{DCBAC207-FB07-4AF3-8D5C-6735D0F8122D}"/>
                </a:ext>
              </a:extLst>
            </xdr:cNvPr>
            <xdr:cNvSpPr/>
          </xdr:nvSpPr>
          <xdr:spPr>
            <a:xfrm>
              <a:off x="6823228" y="1307433"/>
              <a:ext cx="288264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58" name="Rektangel 57">
              <a:hlinkClick xmlns:r="http://schemas.openxmlformats.org/officeDocument/2006/relationships" r:id="rId45"/>
              <a:extLst>
                <a:ext uri="{FF2B5EF4-FFF2-40B4-BE49-F238E27FC236}">
                  <a16:creationId xmlns:a16="http://schemas.microsoft.com/office/drawing/2014/main" id="{B6D99FB4-D0E5-4AFD-A51E-EF47FE9FD091}"/>
                </a:ext>
              </a:extLst>
            </xdr:cNvPr>
            <xdr:cNvSpPr/>
          </xdr:nvSpPr>
          <xdr:spPr>
            <a:xfrm>
              <a:off x="6819266" y="2195715"/>
              <a:ext cx="288264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59" name="Rektangel 58">
              <a:hlinkClick xmlns:r="http://schemas.openxmlformats.org/officeDocument/2006/relationships" r:id="rId46"/>
              <a:extLst>
                <a:ext uri="{FF2B5EF4-FFF2-40B4-BE49-F238E27FC236}">
                  <a16:creationId xmlns:a16="http://schemas.microsoft.com/office/drawing/2014/main" id="{3ABCD4F4-0350-402B-A8D6-9A781EE69956}"/>
                </a:ext>
              </a:extLst>
            </xdr:cNvPr>
            <xdr:cNvSpPr/>
          </xdr:nvSpPr>
          <xdr:spPr>
            <a:xfrm>
              <a:off x="6829512" y="3087143"/>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omsætningsenheder for  VE og fossil</a:t>
              </a:r>
            </a:p>
          </xdr:txBody>
        </xdr:sp>
        <xdr:sp macro="" textlink="">
          <xdr:nvSpPr>
            <xdr:cNvPr id="60" name="Rektangel 59">
              <a:hlinkClick xmlns:r="http://schemas.openxmlformats.org/officeDocument/2006/relationships" r:id="rId47"/>
              <a:extLst>
                <a:ext uri="{FF2B5EF4-FFF2-40B4-BE49-F238E27FC236}">
                  <a16:creationId xmlns:a16="http://schemas.microsoft.com/office/drawing/2014/main" id="{3EAF84CF-722B-4CAD-8A9E-35211A5BEA3B}"/>
                </a:ext>
              </a:extLst>
            </xdr:cNvPr>
            <xdr:cNvSpPr/>
          </xdr:nvSpPr>
          <xdr:spPr>
            <a:xfrm>
              <a:off x="6832753" y="3981159"/>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grpSp>
      <xdr:grpSp>
        <xdr:nvGrpSpPr>
          <xdr:cNvPr id="38" name="Gruppe 37">
            <a:extLst>
              <a:ext uri="{FF2B5EF4-FFF2-40B4-BE49-F238E27FC236}">
                <a16:creationId xmlns:a16="http://schemas.microsoft.com/office/drawing/2014/main" id="{2FE4BBF4-D268-4CB2-970D-429D6F3D375F}"/>
              </a:ext>
            </a:extLst>
          </xdr:cNvPr>
          <xdr:cNvGrpSpPr/>
        </xdr:nvGrpSpPr>
        <xdr:grpSpPr>
          <a:xfrm>
            <a:off x="10098348" y="524797"/>
            <a:ext cx="3247310" cy="7380953"/>
            <a:chOff x="10101711" y="515469"/>
            <a:chExt cx="3248403" cy="7149355"/>
          </a:xfrm>
        </xdr:grpSpPr>
        <xdr:sp macro="" textlink="">
          <xdr:nvSpPr>
            <xdr:cNvPr id="39" name="Rektangel 38">
              <a:extLst>
                <a:ext uri="{FF2B5EF4-FFF2-40B4-BE49-F238E27FC236}">
                  <a16:creationId xmlns:a16="http://schemas.microsoft.com/office/drawing/2014/main" id="{A8383E72-A803-4BFC-A146-C0270CB1E036}"/>
                </a:ext>
              </a:extLst>
            </xdr:cNvPr>
            <xdr:cNvSpPr/>
          </xdr:nvSpPr>
          <xdr:spPr>
            <a:xfrm>
              <a:off x="10101711" y="515469"/>
              <a:ext cx="3248403" cy="714935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solidFill>
                    <a:sysClr val="windowText" lastClr="000000"/>
                  </a:solidFill>
                </a:rPr>
                <a:t>Udvidede</a:t>
              </a:r>
              <a:r>
                <a:rPr lang="da-DK" sz="2000" b="1" baseline="0">
                  <a:solidFill>
                    <a:sysClr val="windowText" lastClr="000000"/>
                  </a:solidFill>
                </a:rPr>
                <a:t> endelige energiforbrug &amp; slutforbrug</a:t>
              </a:r>
              <a:endParaRPr lang="da-DK" sz="2000" b="1">
                <a:solidFill>
                  <a:sysClr val="windowText" lastClr="000000"/>
                </a:solidFill>
              </a:endParaRPr>
            </a:p>
          </xdr:txBody>
        </xdr:sp>
        <xdr:sp macro="" textlink="">
          <xdr:nvSpPr>
            <xdr:cNvPr id="40" name="Rektangel 39">
              <a:hlinkClick xmlns:r="http://schemas.openxmlformats.org/officeDocument/2006/relationships" r:id="rId48"/>
              <a:extLst>
                <a:ext uri="{FF2B5EF4-FFF2-40B4-BE49-F238E27FC236}">
                  <a16:creationId xmlns:a16="http://schemas.microsoft.com/office/drawing/2014/main" id="{72FC773F-0E65-4688-892F-C0C165876193}"/>
                </a:ext>
              </a:extLst>
            </xdr:cNvPr>
            <xdr:cNvSpPr/>
          </xdr:nvSpPr>
          <xdr:spPr>
            <a:xfrm>
              <a:off x="10294522" y="1280787"/>
              <a:ext cx="2881199"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1" name="Rektangel 40">
              <a:hlinkClick xmlns:r="http://schemas.openxmlformats.org/officeDocument/2006/relationships" r:id="rId49"/>
              <a:extLst>
                <a:ext uri="{FF2B5EF4-FFF2-40B4-BE49-F238E27FC236}">
                  <a16:creationId xmlns:a16="http://schemas.microsoft.com/office/drawing/2014/main" id="{DBDDABDC-4296-4309-9656-988B3D108064}"/>
                </a:ext>
              </a:extLst>
            </xdr:cNvPr>
            <xdr:cNvSpPr/>
          </xdr:nvSpPr>
          <xdr:spPr>
            <a:xfrm>
              <a:off x="10303577" y="3958660"/>
              <a:ext cx="2893445"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fordelt på kategorier</a:t>
              </a:r>
            </a:p>
          </xdr:txBody>
        </xdr:sp>
        <xdr:sp macro="" textlink="">
          <xdr:nvSpPr>
            <xdr:cNvPr id="42" name="Rektangel 41">
              <a:hlinkClick xmlns:r="http://schemas.openxmlformats.org/officeDocument/2006/relationships" r:id="rId50"/>
              <a:extLst>
                <a:ext uri="{FF2B5EF4-FFF2-40B4-BE49-F238E27FC236}">
                  <a16:creationId xmlns:a16="http://schemas.microsoft.com/office/drawing/2014/main" id="{4CF9122C-8BEE-47B6-921E-8BBF54131E2E}"/>
                </a:ext>
              </a:extLst>
            </xdr:cNvPr>
            <xdr:cNvSpPr/>
          </xdr:nvSpPr>
          <xdr:spPr>
            <a:xfrm>
              <a:off x="10299886" y="2154490"/>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3" name="Rektangel 42">
              <a:hlinkClick xmlns:r="http://schemas.openxmlformats.org/officeDocument/2006/relationships" r:id="rId51"/>
              <a:extLst>
                <a:ext uri="{FF2B5EF4-FFF2-40B4-BE49-F238E27FC236}">
                  <a16:creationId xmlns:a16="http://schemas.microsoft.com/office/drawing/2014/main" id="{00A530B9-BE22-4E82-BC6C-A0748B718F0C}"/>
                </a:ext>
              </a:extLst>
            </xdr:cNvPr>
            <xdr:cNvSpPr/>
          </xdr:nvSpPr>
          <xdr:spPr>
            <a:xfrm>
              <a:off x="10313494" y="3037274"/>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brændsler</a:t>
              </a:r>
            </a:p>
          </xdr:txBody>
        </xdr:sp>
        <xdr:sp macro="" textlink="">
          <xdr:nvSpPr>
            <xdr:cNvPr id="44" name="Rektangel 43">
              <a:hlinkClick xmlns:r="http://schemas.openxmlformats.org/officeDocument/2006/relationships" r:id="rId52"/>
              <a:extLst>
                <a:ext uri="{FF2B5EF4-FFF2-40B4-BE49-F238E27FC236}">
                  <a16:creationId xmlns:a16="http://schemas.microsoft.com/office/drawing/2014/main" id="{3F5DA90F-4641-4D3D-9311-443E7C4AAE6B}"/>
                </a:ext>
              </a:extLst>
            </xdr:cNvPr>
            <xdr:cNvSpPr/>
          </xdr:nvSpPr>
          <xdr:spPr>
            <a:xfrm>
              <a:off x="10309411" y="4863078"/>
              <a:ext cx="288120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fordelt på anlægstype</a:t>
              </a:r>
            </a:p>
          </xdr:txBody>
        </xdr:sp>
        <xdr:sp macro="" textlink="">
          <xdr:nvSpPr>
            <xdr:cNvPr id="45" name="Rektangel 44">
              <a:hlinkClick xmlns:r="http://schemas.openxmlformats.org/officeDocument/2006/relationships" r:id="rId53"/>
              <a:extLst>
                <a:ext uri="{FF2B5EF4-FFF2-40B4-BE49-F238E27FC236}">
                  <a16:creationId xmlns:a16="http://schemas.microsoft.com/office/drawing/2014/main" id="{2D283FEF-7267-41B7-B019-AD20BCD25542}"/>
                </a:ext>
              </a:extLst>
            </xdr:cNvPr>
            <xdr:cNvSpPr/>
          </xdr:nvSpPr>
          <xdr:spPr>
            <a:xfrm>
              <a:off x="10298526" y="5757045"/>
              <a:ext cx="288120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opdelt på anlægstype for basisår</a:t>
              </a:r>
            </a:p>
          </xdr:txBody>
        </xdr:sp>
        <xdr:sp macro="" textlink="">
          <xdr:nvSpPr>
            <xdr:cNvPr id="46" name="Rektangel 45">
              <a:hlinkClick xmlns:r="http://schemas.openxmlformats.org/officeDocument/2006/relationships" r:id="rId54"/>
              <a:extLst>
                <a:ext uri="{FF2B5EF4-FFF2-40B4-BE49-F238E27FC236}">
                  <a16:creationId xmlns:a16="http://schemas.microsoft.com/office/drawing/2014/main" id="{A40222D9-0E90-4B20-A2FE-AE4EF45FE27E}"/>
                </a:ext>
              </a:extLst>
            </xdr:cNvPr>
            <xdr:cNvSpPr/>
          </xdr:nvSpPr>
          <xdr:spPr>
            <a:xfrm>
              <a:off x="10287640" y="6653037"/>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a:t>
              </a:r>
              <a:r>
                <a:rPr lang="da-DK" sz="1400" b="1" baseline="0"/>
                <a:t> </a:t>
              </a:r>
              <a:r>
                <a:rPr lang="da-DK" sz="1400" b="1"/>
                <a:t>af varme fordelt på anlægstype</a:t>
              </a:r>
            </a:p>
          </xdr:txBody>
        </xdr:sp>
      </xdr:grpSp>
    </xdr:grpSp>
    <xdr:clientData/>
  </xdr:twoCellAnchor>
  <xdr:twoCellAnchor>
    <xdr:from>
      <xdr:col>7</xdr:col>
      <xdr:colOff>22411</xdr:colOff>
      <xdr:row>63</xdr:row>
      <xdr:rowOff>26894</xdr:rowOff>
    </xdr:from>
    <xdr:to>
      <xdr:col>14</xdr:col>
      <xdr:colOff>36980</xdr:colOff>
      <xdr:row>86</xdr:row>
      <xdr:rowOff>151115</xdr:rowOff>
    </xdr:to>
    <xdr:graphicFrame macro="">
      <xdr:nvGraphicFramePr>
        <xdr:cNvPr id="73" name="Diagram 15">
          <a:extLst>
            <a:ext uri="{FF2B5EF4-FFF2-40B4-BE49-F238E27FC236}">
              <a16:creationId xmlns:a16="http://schemas.microsoft.com/office/drawing/2014/main" id="{93A59046-6E8D-4DA4-B434-9C371A30323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4" name="Tekstboks 77">
          <a:extLst>
            <a:ext uri="{FF2B5EF4-FFF2-40B4-BE49-F238E27FC236}">
              <a16:creationId xmlns:a16="http://schemas.microsoft.com/office/drawing/2014/main" id="{5DF7485F-E9A2-4831-8CAB-7F3386742052}"/>
            </a:ext>
          </a:extLst>
        </xdr:cNvPr>
        <xdr:cNvSpPr txBox="1"/>
      </xdr:nvSpPr>
      <xdr:spPr>
        <a:xfrm>
          <a:off x="8450354" y="8878981"/>
          <a:ext cx="4271119"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twoCellAnchor editAs="absolute">
    <xdr:from>
      <xdr:col>0</xdr:col>
      <xdr:colOff>85725</xdr:colOff>
      <xdr:row>1107</xdr:row>
      <xdr:rowOff>69384</xdr:rowOff>
    </xdr:from>
    <xdr:to>
      <xdr:col>0</xdr:col>
      <xdr:colOff>355168</xdr:colOff>
      <xdr:row>1109</xdr:row>
      <xdr:rowOff>35813</xdr:rowOff>
    </xdr:to>
    <xdr:sp macro="" textlink="">
      <xdr:nvSpPr>
        <xdr:cNvPr id="75" name="Rektangel 74">
          <a:hlinkClick xmlns:r="http://schemas.openxmlformats.org/officeDocument/2006/relationships" r:id="rId56"/>
          <a:extLst>
            <a:ext uri="{FF2B5EF4-FFF2-40B4-BE49-F238E27FC236}">
              <a16:creationId xmlns:a16="http://schemas.microsoft.com/office/drawing/2014/main" id="{444DECC5-740E-4FFE-9ED6-3D739FC85F70}"/>
            </a:ext>
          </a:extLst>
        </xdr:cNvPr>
        <xdr:cNvSpPr/>
      </xdr:nvSpPr>
      <xdr:spPr>
        <a:xfrm>
          <a:off x="85725" y="181253934"/>
          <a:ext cx="269443" cy="29027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1008</xdr:row>
      <xdr:rowOff>69384</xdr:rowOff>
    </xdr:from>
    <xdr:to>
      <xdr:col>0</xdr:col>
      <xdr:colOff>355168</xdr:colOff>
      <xdr:row>1010</xdr:row>
      <xdr:rowOff>35813</xdr:rowOff>
    </xdr:to>
    <xdr:sp macro="" textlink="">
      <xdr:nvSpPr>
        <xdr:cNvPr id="76" name="Rektangel 75">
          <a:hlinkClick xmlns:r="http://schemas.openxmlformats.org/officeDocument/2006/relationships" r:id="rId56"/>
          <a:extLst>
            <a:ext uri="{FF2B5EF4-FFF2-40B4-BE49-F238E27FC236}">
              <a16:creationId xmlns:a16="http://schemas.microsoft.com/office/drawing/2014/main" id="{28A9B704-02AA-4FC1-A079-A6EC6CC29886}"/>
            </a:ext>
          </a:extLst>
        </xdr:cNvPr>
        <xdr:cNvSpPr/>
      </xdr:nvSpPr>
      <xdr:spPr>
        <a:xfrm>
          <a:off x="85725" y="164956659"/>
          <a:ext cx="269443" cy="29027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842</xdr:row>
      <xdr:rowOff>69384</xdr:rowOff>
    </xdr:from>
    <xdr:to>
      <xdr:col>0</xdr:col>
      <xdr:colOff>355168</xdr:colOff>
      <xdr:row>844</xdr:row>
      <xdr:rowOff>35812</xdr:rowOff>
    </xdr:to>
    <xdr:sp macro="" textlink="">
      <xdr:nvSpPr>
        <xdr:cNvPr id="77" name="Rektangel 76">
          <a:hlinkClick xmlns:r="http://schemas.openxmlformats.org/officeDocument/2006/relationships" r:id="rId56"/>
          <a:extLst>
            <a:ext uri="{FF2B5EF4-FFF2-40B4-BE49-F238E27FC236}">
              <a16:creationId xmlns:a16="http://schemas.microsoft.com/office/drawing/2014/main" id="{802DB714-2FAE-41ED-8A5A-63A5D3ACBB7C}"/>
            </a:ext>
          </a:extLst>
        </xdr:cNvPr>
        <xdr:cNvSpPr/>
      </xdr:nvSpPr>
      <xdr:spPr>
        <a:xfrm>
          <a:off x="85725" y="137810409"/>
          <a:ext cx="269443" cy="29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707</xdr:row>
      <xdr:rowOff>69384</xdr:rowOff>
    </xdr:from>
    <xdr:to>
      <xdr:col>0</xdr:col>
      <xdr:colOff>355168</xdr:colOff>
      <xdr:row>709</xdr:row>
      <xdr:rowOff>35812</xdr:rowOff>
    </xdr:to>
    <xdr:sp macro="" textlink="">
      <xdr:nvSpPr>
        <xdr:cNvPr id="78" name="Rektangel 77">
          <a:hlinkClick xmlns:r="http://schemas.openxmlformats.org/officeDocument/2006/relationships" r:id="rId56"/>
          <a:extLst>
            <a:ext uri="{FF2B5EF4-FFF2-40B4-BE49-F238E27FC236}">
              <a16:creationId xmlns:a16="http://schemas.microsoft.com/office/drawing/2014/main" id="{38AAE736-720C-4468-9EB3-A2A426BA3C99}"/>
            </a:ext>
          </a:extLst>
        </xdr:cNvPr>
        <xdr:cNvSpPr/>
      </xdr:nvSpPr>
      <xdr:spPr>
        <a:xfrm>
          <a:off x="85725" y="115683834"/>
          <a:ext cx="269443" cy="29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547</xdr:row>
      <xdr:rowOff>56684</xdr:rowOff>
    </xdr:from>
    <xdr:to>
      <xdr:col>0</xdr:col>
      <xdr:colOff>355168</xdr:colOff>
      <xdr:row>549</xdr:row>
      <xdr:rowOff>15175</xdr:rowOff>
    </xdr:to>
    <xdr:sp macro="" textlink="">
      <xdr:nvSpPr>
        <xdr:cNvPr id="79" name="Rektangel 78">
          <a:hlinkClick xmlns:r="http://schemas.openxmlformats.org/officeDocument/2006/relationships" r:id="rId56"/>
          <a:extLst>
            <a:ext uri="{FF2B5EF4-FFF2-40B4-BE49-F238E27FC236}">
              <a16:creationId xmlns:a16="http://schemas.microsoft.com/office/drawing/2014/main" id="{C7EFA33D-1F7C-4FA6-B6F0-13C6F5334D9E}"/>
            </a:ext>
          </a:extLst>
        </xdr:cNvPr>
        <xdr:cNvSpPr/>
      </xdr:nvSpPr>
      <xdr:spPr>
        <a:xfrm>
          <a:off x="85725" y="89382134"/>
          <a:ext cx="269443" cy="28234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50</xdr:row>
      <xdr:rowOff>64662</xdr:rowOff>
    </xdr:from>
    <xdr:to>
      <xdr:col>0</xdr:col>
      <xdr:colOff>385105</xdr:colOff>
      <xdr:row>50</xdr:row>
      <xdr:rowOff>356528</xdr:rowOff>
    </xdr:to>
    <xdr:sp macro="" textlink="">
      <xdr:nvSpPr>
        <xdr:cNvPr id="80" name="Rektangel 79">
          <a:hlinkClick xmlns:r="http://schemas.openxmlformats.org/officeDocument/2006/relationships" r:id="rId56"/>
          <a:extLst>
            <a:ext uri="{FF2B5EF4-FFF2-40B4-BE49-F238E27FC236}">
              <a16:creationId xmlns:a16="http://schemas.microsoft.com/office/drawing/2014/main" id="{299EB3DD-CC44-41CA-922D-FE84E5109AC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89</xdr:row>
      <xdr:rowOff>64662</xdr:rowOff>
    </xdr:from>
    <xdr:to>
      <xdr:col>0</xdr:col>
      <xdr:colOff>385105</xdr:colOff>
      <xdr:row>89</xdr:row>
      <xdr:rowOff>356528</xdr:rowOff>
    </xdr:to>
    <xdr:sp macro="" textlink="">
      <xdr:nvSpPr>
        <xdr:cNvPr id="81" name="Rektangel 80">
          <a:hlinkClick xmlns:r="http://schemas.openxmlformats.org/officeDocument/2006/relationships" r:id="rId56"/>
          <a:extLst>
            <a:ext uri="{FF2B5EF4-FFF2-40B4-BE49-F238E27FC236}">
              <a16:creationId xmlns:a16="http://schemas.microsoft.com/office/drawing/2014/main" id="{0CAE2EE3-DD7A-441E-B719-4416B9142CE4}"/>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xdr:from>
      <xdr:col>0</xdr:col>
      <xdr:colOff>601195</xdr:colOff>
      <xdr:row>1032</xdr:row>
      <xdr:rowOff>28573</xdr:rowOff>
    </xdr:from>
    <xdr:to>
      <xdr:col>6</xdr:col>
      <xdr:colOff>506166</xdr:colOff>
      <xdr:row>1057</xdr:row>
      <xdr:rowOff>66515</xdr:rowOff>
    </xdr:to>
    <xdr:graphicFrame macro="">
      <xdr:nvGraphicFramePr>
        <xdr:cNvPr id="82" name="Diagram 21">
          <a:extLst>
            <a:ext uri="{FF2B5EF4-FFF2-40B4-BE49-F238E27FC236}">
              <a16:creationId xmlns:a16="http://schemas.microsoft.com/office/drawing/2014/main" id="{572C1466-6EC8-4EB8-A1EA-4B30D79E4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16808</xdr:colOff>
      <xdr:row>1083</xdr:row>
      <xdr:rowOff>33057</xdr:rowOff>
    </xdr:from>
    <xdr:to>
      <xdr:col>6</xdr:col>
      <xdr:colOff>526897</xdr:colOff>
      <xdr:row>1108</xdr:row>
      <xdr:rowOff>70998</xdr:rowOff>
    </xdr:to>
    <xdr:graphicFrame macro="">
      <xdr:nvGraphicFramePr>
        <xdr:cNvPr id="83" name="Diagram 15">
          <a:extLst>
            <a:ext uri="{FF2B5EF4-FFF2-40B4-BE49-F238E27FC236}">
              <a16:creationId xmlns:a16="http://schemas.microsoft.com/office/drawing/2014/main" id="{510EC908-EEFB-4BDC-B2D1-76FDEB27FA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29695</xdr:colOff>
      <xdr:row>1132</xdr:row>
      <xdr:rowOff>17369</xdr:rowOff>
    </xdr:from>
    <xdr:to>
      <xdr:col>6</xdr:col>
      <xdr:colOff>539784</xdr:colOff>
      <xdr:row>1157</xdr:row>
      <xdr:rowOff>55310</xdr:rowOff>
    </xdr:to>
    <xdr:graphicFrame macro="">
      <xdr:nvGraphicFramePr>
        <xdr:cNvPr id="84" name="Diagram 21">
          <a:extLst>
            <a:ext uri="{FF2B5EF4-FFF2-40B4-BE49-F238E27FC236}">
              <a16:creationId xmlns:a16="http://schemas.microsoft.com/office/drawing/2014/main" id="{214BB528-AD90-4923-BC45-6630750EC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16807</xdr:colOff>
      <xdr:row>1183</xdr:row>
      <xdr:rowOff>21850</xdr:rowOff>
    </xdr:from>
    <xdr:to>
      <xdr:col>6</xdr:col>
      <xdr:colOff>526896</xdr:colOff>
      <xdr:row>1208</xdr:row>
      <xdr:rowOff>59791</xdr:rowOff>
    </xdr:to>
    <xdr:graphicFrame macro="">
      <xdr:nvGraphicFramePr>
        <xdr:cNvPr id="85" name="Diagram 15">
          <a:extLst>
            <a:ext uri="{FF2B5EF4-FFF2-40B4-BE49-F238E27FC236}">
              <a16:creationId xmlns:a16="http://schemas.microsoft.com/office/drawing/2014/main" id="{EA142786-4171-4E0A-B48B-6C0A1AC8F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0</xdr:colOff>
      <xdr:row>653</xdr:row>
      <xdr:rowOff>0</xdr:rowOff>
    </xdr:from>
    <xdr:to>
      <xdr:col>14</xdr:col>
      <xdr:colOff>298423</xdr:colOff>
      <xdr:row>678</xdr:row>
      <xdr:rowOff>37941</xdr:rowOff>
    </xdr:to>
    <xdr:graphicFrame macro="">
      <xdr:nvGraphicFramePr>
        <xdr:cNvPr id="86" name="Diagram 21">
          <a:extLst>
            <a:ext uri="{FF2B5EF4-FFF2-40B4-BE49-F238E27FC236}">
              <a16:creationId xmlns:a16="http://schemas.microsoft.com/office/drawing/2014/main" id="{83B65473-2128-4A8D-BDF5-A93F0DDF09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8</xdr:col>
      <xdr:colOff>0</xdr:colOff>
      <xdr:row>127</xdr:row>
      <xdr:rowOff>0</xdr:rowOff>
    </xdr:from>
    <xdr:to>
      <xdr:col>16</xdr:col>
      <xdr:colOff>346080</xdr:colOff>
      <xdr:row>151</xdr:row>
      <xdr:rowOff>73800</xdr:rowOff>
    </xdr:to>
    <xdr:graphicFrame macro="">
      <xdr:nvGraphicFramePr>
        <xdr:cNvPr id="87" name="Diagram 15">
          <a:extLst>
            <a:ext uri="{FF2B5EF4-FFF2-40B4-BE49-F238E27FC236}">
              <a16:creationId xmlns:a16="http://schemas.microsoft.com/office/drawing/2014/main" id="{E74A1041-C751-407B-B909-70CE15A77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9</xdr:col>
      <xdr:colOff>349250</xdr:colOff>
      <xdr:row>98</xdr:row>
      <xdr:rowOff>74083</xdr:rowOff>
    </xdr:from>
    <xdr:to>
      <xdr:col>17</xdr:col>
      <xdr:colOff>695330</xdr:colOff>
      <xdr:row>124</xdr:row>
      <xdr:rowOff>137299</xdr:rowOff>
    </xdr:to>
    <xdr:graphicFrame macro="">
      <xdr:nvGraphicFramePr>
        <xdr:cNvPr id="88" name="Diagram 15">
          <a:extLst>
            <a:ext uri="{FF2B5EF4-FFF2-40B4-BE49-F238E27FC236}">
              <a16:creationId xmlns:a16="http://schemas.microsoft.com/office/drawing/2014/main" id="{061BE0C6-97F6-4059-8A1A-F2D02FE9B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7</xdr:col>
      <xdr:colOff>108857</xdr:colOff>
      <xdr:row>682</xdr:row>
      <xdr:rowOff>81644</xdr:rowOff>
    </xdr:from>
    <xdr:to>
      <xdr:col>14</xdr:col>
      <xdr:colOff>407280</xdr:colOff>
      <xdr:row>707</xdr:row>
      <xdr:rowOff>119585</xdr:rowOff>
    </xdr:to>
    <xdr:graphicFrame macro="">
      <xdr:nvGraphicFramePr>
        <xdr:cNvPr id="89" name="Diagram 21">
          <a:extLst>
            <a:ext uri="{FF2B5EF4-FFF2-40B4-BE49-F238E27FC236}">
              <a16:creationId xmlns:a16="http://schemas.microsoft.com/office/drawing/2014/main" id="{CE7CB49A-38D8-4C5C-8802-62C37E9F8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30416</xdr:colOff>
      <xdr:row>582</xdr:row>
      <xdr:rowOff>23548</xdr:rowOff>
    </xdr:from>
    <xdr:to>
      <xdr:col>6</xdr:col>
      <xdr:colOff>540505</xdr:colOff>
      <xdr:row>607</xdr:row>
      <xdr:rowOff>61490</xdr:rowOff>
    </xdr:to>
    <xdr:graphicFrame macro="">
      <xdr:nvGraphicFramePr>
        <xdr:cNvPr id="90" name="Diagram 16">
          <a:extLst>
            <a:ext uri="{FF2B5EF4-FFF2-40B4-BE49-F238E27FC236}">
              <a16:creationId xmlns:a16="http://schemas.microsoft.com/office/drawing/2014/main" id="{9C3014E6-9F04-45D4-AE02-C635576372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609598</xdr:colOff>
      <xdr:row>244</xdr:row>
      <xdr:rowOff>34017</xdr:rowOff>
    </xdr:from>
    <xdr:to>
      <xdr:col>7</xdr:col>
      <xdr:colOff>819973</xdr:colOff>
      <xdr:row>268</xdr:row>
      <xdr:rowOff>107817</xdr:rowOff>
    </xdr:to>
    <xdr:graphicFrame macro="">
      <xdr:nvGraphicFramePr>
        <xdr:cNvPr id="91" name="Diagram 19">
          <a:extLst>
            <a:ext uri="{FF2B5EF4-FFF2-40B4-BE49-F238E27FC236}">
              <a16:creationId xmlns:a16="http://schemas.microsoft.com/office/drawing/2014/main" id="{7951CBA0-F30F-4F5B-AA15-C5B619321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9525</xdr:colOff>
      <xdr:row>315</xdr:row>
      <xdr:rowOff>28576</xdr:rowOff>
    </xdr:from>
    <xdr:to>
      <xdr:col>6</xdr:col>
      <xdr:colOff>501203</xdr:colOff>
      <xdr:row>339</xdr:row>
      <xdr:rowOff>60296</xdr:rowOff>
    </xdr:to>
    <xdr:graphicFrame macro="">
      <xdr:nvGraphicFramePr>
        <xdr:cNvPr id="92" name="Diagram 21">
          <a:extLst>
            <a:ext uri="{FF2B5EF4-FFF2-40B4-BE49-F238E27FC236}">
              <a16:creationId xmlns:a16="http://schemas.microsoft.com/office/drawing/2014/main" id="{FD24C40D-A063-4CA2-8117-AC87164CBC4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17368</xdr:colOff>
      <xdr:row>373</xdr:row>
      <xdr:rowOff>39781</xdr:rowOff>
    </xdr:from>
    <xdr:to>
      <xdr:col>9</xdr:col>
      <xdr:colOff>369794</xdr:colOff>
      <xdr:row>398</xdr:row>
      <xdr:rowOff>77722</xdr:rowOff>
    </xdr:to>
    <xdr:graphicFrame macro="">
      <xdr:nvGraphicFramePr>
        <xdr:cNvPr id="93" name="Diagram 21">
          <a:extLst>
            <a:ext uri="{FF2B5EF4-FFF2-40B4-BE49-F238E27FC236}">
              <a16:creationId xmlns:a16="http://schemas.microsoft.com/office/drawing/2014/main" id="{8FED101B-2EF8-426C-BA6E-DDF8CC297A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47624</xdr:colOff>
      <xdr:row>653</xdr:row>
      <xdr:rowOff>28574</xdr:rowOff>
    </xdr:from>
    <xdr:to>
      <xdr:col>6</xdr:col>
      <xdr:colOff>557713</xdr:colOff>
      <xdr:row>678</xdr:row>
      <xdr:rowOff>66515</xdr:rowOff>
    </xdr:to>
    <xdr:graphicFrame macro="">
      <xdr:nvGraphicFramePr>
        <xdr:cNvPr id="94" name="Diagram 21">
          <a:extLst>
            <a:ext uri="{FF2B5EF4-FFF2-40B4-BE49-F238E27FC236}">
              <a16:creationId xmlns:a16="http://schemas.microsoft.com/office/drawing/2014/main" id="{1BD6F8DD-D82C-4280-BE97-F8B61A99A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22972</xdr:colOff>
      <xdr:row>463</xdr:row>
      <xdr:rowOff>33617</xdr:rowOff>
    </xdr:from>
    <xdr:to>
      <xdr:col>6</xdr:col>
      <xdr:colOff>533061</xdr:colOff>
      <xdr:row>488</xdr:row>
      <xdr:rowOff>71558</xdr:rowOff>
    </xdr:to>
    <xdr:graphicFrame macro="">
      <xdr:nvGraphicFramePr>
        <xdr:cNvPr id="95" name="Diagram 23">
          <a:extLst>
            <a:ext uri="{FF2B5EF4-FFF2-40B4-BE49-F238E27FC236}">
              <a16:creationId xmlns:a16="http://schemas.microsoft.com/office/drawing/2014/main" id="{5265B434-2793-42FF-9D43-096D7EFEAA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9525</xdr:colOff>
      <xdr:row>63</xdr:row>
      <xdr:rowOff>38100</xdr:rowOff>
    </xdr:from>
    <xdr:to>
      <xdr:col>6</xdr:col>
      <xdr:colOff>371475</xdr:colOff>
      <xdr:row>87</xdr:row>
      <xdr:rowOff>0</xdr:rowOff>
    </xdr:to>
    <xdr:graphicFrame macro="">
      <xdr:nvGraphicFramePr>
        <xdr:cNvPr id="96" name="Diagram 15">
          <a:extLst>
            <a:ext uri="{FF2B5EF4-FFF2-40B4-BE49-F238E27FC236}">
              <a16:creationId xmlns:a16="http://schemas.microsoft.com/office/drawing/2014/main" id="{E03A2503-4E92-4256-94F0-A8A44795CD4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5603</xdr:colOff>
      <xdr:row>877</xdr:row>
      <xdr:rowOff>8405</xdr:rowOff>
    </xdr:from>
    <xdr:to>
      <xdr:col>6</xdr:col>
      <xdr:colOff>515692</xdr:colOff>
      <xdr:row>906</xdr:row>
      <xdr:rowOff>138817</xdr:rowOff>
    </xdr:to>
    <xdr:graphicFrame macro="">
      <xdr:nvGraphicFramePr>
        <xdr:cNvPr id="97" name="Diagram 15">
          <a:extLst>
            <a:ext uri="{FF2B5EF4-FFF2-40B4-BE49-F238E27FC236}">
              <a16:creationId xmlns:a16="http://schemas.microsoft.com/office/drawing/2014/main" id="{C0C7077B-4949-4BEE-8B17-719214045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7684</xdr:colOff>
      <xdr:row>750</xdr:row>
      <xdr:rowOff>54750</xdr:rowOff>
    </xdr:from>
    <xdr:to>
      <xdr:col>6</xdr:col>
      <xdr:colOff>517773</xdr:colOff>
      <xdr:row>780</xdr:row>
      <xdr:rowOff>28280</xdr:rowOff>
    </xdr:to>
    <xdr:graphicFrame macro="">
      <xdr:nvGraphicFramePr>
        <xdr:cNvPr id="98" name="Diagram 15">
          <a:extLst>
            <a:ext uri="{FF2B5EF4-FFF2-40B4-BE49-F238E27FC236}">
              <a16:creationId xmlns:a16="http://schemas.microsoft.com/office/drawing/2014/main" id="{30B51EE1-6342-4571-A3B7-78F18B01A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99" name="Tekstboks 14">
          <a:extLst>
            <a:ext uri="{FF2B5EF4-FFF2-40B4-BE49-F238E27FC236}">
              <a16:creationId xmlns:a16="http://schemas.microsoft.com/office/drawing/2014/main" id="{93CC83B6-D17A-4795-B978-446CB8E59CC8}"/>
            </a:ext>
          </a:extLst>
        </xdr:cNvPr>
        <xdr:cNvSpPr txBox="1"/>
      </xdr:nvSpPr>
      <xdr:spPr>
        <a:xfrm>
          <a:off x="617883" y="155156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848</xdr:row>
      <xdr:rowOff>61071</xdr:rowOff>
    </xdr:from>
    <xdr:to>
      <xdr:col>4</xdr:col>
      <xdr:colOff>659911</xdr:colOff>
      <xdr:row>853</xdr:row>
      <xdr:rowOff>134471</xdr:rowOff>
    </xdr:to>
    <xdr:sp macro="" textlink="">
      <xdr:nvSpPr>
        <xdr:cNvPr id="100" name="Tekstboks 15">
          <a:extLst>
            <a:ext uri="{FF2B5EF4-FFF2-40B4-BE49-F238E27FC236}">
              <a16:creationId xmlns:a16="http://schemas.microsoft.com/office/drawing/2014/main" id="{2162694E-6463-4129-B291-B78ED0C4EF3F}"/>
            </a:ext>
          </a:extLst>
        </xdr:cNvPr>
        <xdr:cNvSpPr txBox="1"/>
      </xdr:nvSpPr>
      <xdr:spPr>
        <a:xfrm>
          <a:off x="632011" y="139040346"/>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Slutforbrug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01" name="Tekstboks 16">
          <a:extLst>
            <a:ext uri="{FF2B5EF4-FFF2-40B4-BE49-F238E27FC236}">
              <a16:creationId xmlns:a16="http://schemas.microsoft.com/office/drawing/2014/main" id="{A60FF650-F193-45CD-8147-956111E3F03D}"/>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186</xdr:row>
      <xdr:rowOff>11205</xdr:rowOff>
    </xdr:from>
    <xdr:to>
      <xdr:col>6</xdr:col>
      <xdr:colOff>495041</xdr:colOff>
      <xdr:row>210</xdr:row>
      <xdr:rowOff>52348</xdr:rowOff>
    </xdr:to>
    <xdr:graphicFrame macro="">
      <xdr:nvGraphicFramePr>
        <xdr:cNvPr id="102" name="Diagram 101">
          <a:extLst>
            <a:ext uri="{FF2B5EF4-FFF2-40B4-BE49-F238E27FC236}">
              <a16:creationId xmlns:a16="http://schemas.microsoft.com/office/drawing/2014/main" id="{938435E7-F2CB-45B4-90CE-567C910EF9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3363</xdr:colOff>
      <xdr:row>215</xdr:row>
      <xdr:rowOff>11205</xdr:rowOff>
    </xdr:from>
    <xdr:to>
      <xdr:col>6</xdr:col>
      <xdr:colOff>495041</xdr:colOff>
      <xdr:row>239</xdr:row>
      <xdr:rowOff>52348</xdr:rowOff>
    </xdr:to>
    <xdr:graphicFrame macro="">
      <xdr:nvGraphicFramePr>
        <xdr:cNvPr id="103" name="Diagram 102">
          <a:extLst>
            <a:ext uri="{FF2B5EF4-FFF2-40B4-BE49-F238E27FC236}">
              <a16:creationId xmlns:a16="http://schemas.microsoft.com/office/drawing/2014/main" id="{2342C349-0313-455C-B627-6E92230BB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27776</xdr:colOff>
      <xdr:row>127</xdr:row>
      <xdr:rowOff>30653</xdr:rowOff>
    </xdr:from>
    <xdr:to>
      <xdr:col>7</xdr:col>
      <xdr:colOff>266700</xdr:colOff>
      <xdr:row>151</xdr:row>
      <xdr:rowOff>104453</xdr:rowOff>
    </xdr:to>
    <xdr:graphicFrame macro="">
      <xdr:nvGraphicFramePr>
        <xdr:cNvPr id="104" name="Diagram 15">
          <a:extLst>
            <a:ext uri="{FF2B5EF4-FFF2-40B4-BE49-F238E27FC236}">
              <a16:creationId xmlns:a16="http://schemas.microsoft.com/office/drawing/2014/main" id="{106E142F-6A48-4DB9-89BD-BF652466B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2425</xdr:colOff>
      <xdr:row>156</xdr:row>
      <xdr:rowOff>36739</xdr:rowOff>
    </xdr:from>
    <xdr:to>
      <xdr:col>6</xdr:col>
      <xdr:colOff>515875</xdr:colOff>
      <xdr:row>181</xdr:row>
      <xdr:rowOff>74681</xdr:rowOff>
    </xdr:to>
    <xdr:graphicFrame macro="">
      <xdr:nvGraphicFramePr>
        <xdr:cNvPr id="105" name="Diagram 104">
          <a:extLst>
            <a:ext uri="{FF2B5EF4-FFF2-40B4-BE49-F238E27FC236}">
              <a16:creationId xmlns:a16="http://schemas.microsoft.com/office/drawing/2014/main" id="{0A93AD8C-EE93-48DE-96F1-56BABF58E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22413</xdr:colOff>
      <xdr:row>273</xdr:row>
      <xdr:rowOff>44821</xdr:rowOff>
    </xdr:from>
    <xdr:to>
      <xdr:col>6</xdr:col>
      <xdr:colOff>532502</xdr:colOff>
      <xdr:row>298</xdr:row>
      <xdr:rowOff>82762</xdr:rowOff>
    </xdr:to>
    <xdr:graphicFrame macro="">
      <xdr:nvGraphicFramePr>
        <xdr:cNvPr id="106" name="Diagram 105">
          <a:extLst>
            <a:ext uri="{FF2B5EF4-FFF2-40B4-BE49-F238E27FC236}">
              <a16:creationId xmlns:a16="http://schemas.microsoft.com/office/drawing/2014/main" id="{A58842BF-BC86-48B5-A269-D451648F9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27214</xdr:colOff>
      <xdr:row>612</xdr:row>
      <xdr:rowOff>23933</xdr:rowOff>
    </xdr:from>
    <xdr:to>
      <xdr:col>6</xdr:col>
      <xdr:colOff>537303</xdr:colOff>
      <xdr:row>637</xdr:row>
      <xdr:rowOff>61875</xdr:rowOff>
    </xdr:to>
    <xdr:graphicFrame macro="">
      <xdr:nvGraphicFramePr>
        <xdr:cNvPr id="107" name="Diagram 106">
          <a:extLst>
            <a:ext uri="{FF2B5EF4-FFF2-40B4-BE49-F238E27FC236}">
              <a16:creationId xmlns:a16="http://schemas.microsoft.com/office/drawing/2014/main" id="{C0E4F38A-EFD5-4A84-9361-28270181A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27216</xdr:colOff>
      <xdr:row>344</xdr:row>
      <xdr:rowOff>36738</xdr:rowOff>
    </xdr:from>
    <xdr:to>
      <xdr:col>6</xdr:col>
      <xdr:colOff>518894</xdr:colOff>
      <xdr:row>368</xdr:row>
      <xdr:rowOff>77881</xdr:rowOff>
    </xdr:to>
    <xdr:graphicFrame macro="">
      <xdr:nvGraphicFramePr>
        <xdr:cNvPr id="108" name="Diagram 107">
          <a:extLst>
            <a:ext uri="{FF2B5EF4-FFF2-40B4-BE49-F238E27FC236}">
              <a16:creationId xmlns:a16="http://schemas.microsoft.com/office/drawing/2014/main" id="{489C363D-3920-48FD-BD95-D22D12DCB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0</xdr:col>
      <xdr:colOff>560292</xdr:colOff>
      <xdr:row>419</xdr:row>
      <xdr:rowOff>26173</xdr:rowOff>
    </xdr:from>
    <xdr:to>
      <xdr:col>6</xdr:col>
      <xdr:colOff>465263</xdr:colOff>
      <xdr:row>444</xdr:row>
      <xdr:rowOff>64115</xdr:rowOff>
    </xdr:to>
    <xdr:graphicFrame macro="">
      <xdr:nvGraphicFramePr>
        <xdr:cNvPr id="109" name="Diagram 108">
          <a:extLst>
            <a:ext uri="{FF2B5EF4-FFF2-40B4-BE49-F238E27FC236}">
              <a16:creationId xmlns:a16="http://schemas.microsoft.com/office/drawing/2014/main" id="{0158DAC0-A41A-4028-9ED4-44E136B11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493</xdr:row>
      <xdr:rowOff>0</xdr:rowOff>
    </xdr:from>
    <xdr:to>
      <xdr:col>6</xdr:col>
      <xdr:colOff>510089</xdr:colOff>
      <xdr:row>518</xdr:row>
      <xdr:rowOff>37941</xdr:rowOff>
    </xdr:to>
    <xdr:graphicFrame macro="">
      <xdr:nvGraphicFramePr>
        <xdr:cNvPr id="110" name="Diagram 23">
          <a:extLst>
            <a:ext uri="{FF2B5EF4-FFF2-40B4-BE49-F238E27FC236}">
              <a16:creationId xmlns:a16="http://schemas.microsoft.com/office/drawing/2014/main" id="{04E22026-51D6-46F4-BB4A-EC4276689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11766</xdr:colOff>
      <xdr:row>523</xdr:row>
      <xdr:rowOff>44823</xdr:rowOff>
    </xdr:from>
    <xdr:to>
      <xdr:col>6</xdr:col>
      <xdr:colOff>521855</xdr:colOff>
      <xdr:row>548</xdr:row>
      <xdr:rowOff>82764</xdr:rowOff>
    </xdr:to>
    <xdr:graphicFrame macro="">
      <xdr:nvGraphicFramePr>
        <xdr:cNvPr id="111" name="Diagram 23">
          <a:extLst>
            <a:ext uri="{FF2B5EF4-FFF2-40B4-BE49-F238E27FC236}">
              <a16:creationId xmlns:a16="http://schemas.microsoft.com/office/drawing/2014/main" id="{AE13B28C-49B1-4C1A-ACCB-B2B8E1063A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11205</xdr:colOff>
      <xdr:row>553</xdr:row>
      <xdr:rowOff>33616</xdr:rowOff>
    </xdr:from>
    <xdr:to>
      <xdr:col>4</xdr:col>
      <xdr:colOff>649940</xdr:colOff>
      <xdr:row>559</xdr:row>
      <xdr:rowOff>100853</xdr:rowOff>
    </xdr:to>
    <xdr:sp macro="" textlink="">
      <xdr:nvSpPr>
        <xdr:cNvPr id="112" name="Tekstboks 27">
          <a:extLst>
            <a:ext uri="{FF2B5EF4-FFF2-40B4-BE49-F238E27FC236}">
              <a16:creationId xmlns:a16="http://schemas.microsoft.com/office/drawing/2014/main" id="{E457A8CE-CEC0-4ECB-A929-578B3B1948C5}"/>
            </a:ext>
          </a:extLst>
        </xdr:cNvPr>
        <xdr:cNvSpPr txBox="1"/>
      </xdr:nvSpPr>
      <xdr:spPr>
        <a:xfrm>
          <a:off x="620805" y="905973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683</xdr:row>
      <xdr:rowOff>28574</xdr:rowOff>
    </xdr:from>
    <xdr:to>
      <xdr:col>6</xdr:col>
      <xdr:colOff>576763</xdr:colOff>
      <xdr:row>708</xdr:row>
      <xdr:rowOff>66516</xdr:rowOff>
    </xdr:to>
    <xdr:graphicFrame macro="">
      <xdr:nvGraphicFramePr>
        <xdr:cNvPr id="113" name="Diagram 21">
          <a:extLst>
            <a:ext uri="{FF2B5EF4-FFF2-40B4-BE49-F238E27FC236}">
              <a16:creationId xmlns:a16="http://schemas.microsoft.com/office/drawing/2014/main" id="{762F78D2-725F-420E-9E27-B1D8517F45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33618</xdr:colOff>
      <xdr:row>720</xdr:row>
      <xdr:rowOff>145677</xdr:rowOff>
    </xdr:from>
    <xdr:to>
      <xdr:col>4</xdr:col>
      <xdr:colOff>674479</xdr:colOff>
      <xdr:row>726</xdr:row>
      <xdr:rowOff>141084</xdr:rowOff>
    </xdr:to>
    <xdr:sp macro="" textlink="">
      <xdr:nvSpPr>
        <xdr:cNvPr id="114" name="Tekstboks 29">
          <a:extLst>
            <a:ext uri="{FF2B5EF4-FFF2-40B4-BE49-F238E27FC236}">
              <a16:creationId xmlns:a16="http://schemas.microsoft.com/office/drawing/2014/main" id="{FE387566-7557-4A40-8354-283E8E46190A}"/>
            </a:ext>
          </a:extLst>
        </xdr:cNvPr>
        <xdr:cNvSpPr txBox="1"/>
      </xdr:nvSpPr>
      <xdr:spPr>
        <a:xfrm>
          <a:off x="643218" y="118131852"/>
          <a:ext cx="5403361" cy="96695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Udvidede endelige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udvidede endelige energiforbrug fremkommer ved at tage det endelige energiforbrug og lægge distributionstabet fra elektricitets- og fjernvarmedistribution oveni, samt egetforbruget af elektricitet og fjernvarme ved samproduktion af disse på værker.</a:t>
          </a:r>
        </a:p>
      </xdr:txBody>
    </xdr:sp>
    <xdr:clientData/>
  </xdr:twoCellAnchor>
  <xdr:twoCellAnchor>
    <xdr:from>
      <xdr:col>1</xdr:col>
      <xdr:colOff>44823</xdr:colOff>
      <xdr:row>713</xdr:row>
      <xdr:rowOff>112058</xdr:rowOff>
    </xdr:from>
    <xdr:to>
      <xdr:col>4</xdr:col>
      <xdr:colOff>685684</xdr:colOff>
      <xdr:row>719</xdr:row>
      <xdr:rowOff>107466</xdr:rowOff>
    </xdr:to>
    <xdr:sp macro="" textlink="">
      <xdr:nvSpPr>
        <xdr:cNvPr id="115" name="Tekstboks 30">
          <a:extLst>
            <a:ext uri="{FF2B5EF4-FFF2-40B4-BE49-F238E27FC236}">
              <a16:creationId xmlns:a16="http://schemas.microsoft.com/office/drawing/2014/main" id="{2D35957D-6090-410A-9982-9A45E9DF79A4}"/>
            </a:ext>
          </a:extLst>
        </xdr:cNvPr>
        <xdr:cNvSpPr txBox="1"/>
      </xdr:nvSpPr>
      <xdr:spPr>
        <a:xfrm>
          <a:off x="654423" y="116964758"/>
          <a:ext cx="5403361" cy="966958"/>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Endeligt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leveret til slutbrugeren (an forbruger), eksempelvis boliger, offentlig service eller fremstillingsvirksomheder. Den leverede energi anvendes derefter til fremstilling af varer og tjenester, rumopvarmning, belysning og andet apparatforbrug samt transport.</a:t>
          </a:r>
        </a:p>
      </xdr:txBody>
    </xdr:sp>
    <xdr:clientData/>
  </xdr:twoCellAnchor>
  <xdr:twoCellAnchor>
    <xdr:from>
      <xdr:col>0</xdr:col>
      <xdr:colOff>609599</xdr:colOff>
      <xdr:row>785</xdr:row>
      <xdr:rowOff>23811</xdr:rowOff>
    </xdr:from>
    <xdr:to>
      <xdr:col>6</xdr:col>
      <xdr:colOff>733424</xdr:colOff>
      <xdr:row>814</xdr:row>
      <xdr:rowOff>95249</xdr:rowOff>
    </xdr:to>
    <xdr:graphicFrame macro="">
      <xdr:nvGraphicFramePr>
        <xdr:cNvPr id="116" name="Diagram 115">
          <a:extLst>
            <a:ext uri="{FF2B5EF4-FFF2-40B4-BE49-F238E27FC236}">
              <a16:creationId xmlns:a16="http://schemas.microsoft.com/office/drawing/2014/main" id="{F1D5A5C9-ACA3-4E2D-969E-8C47ABCBC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1361</xdr:colOff>
      <xdr:row>819</xdr:row>
      <xdr:rowOff>12926</xdr:rowOff>
    </xdr:from>
    <xdr:to>
      <xdr:col>6</xdr:col>
      <xdr:colOff>518892</xdr:colOff>
      <xdr:row>843</xdr:row>
      <xdr:rowOff>86727</xdr:rowOff>
    </xdr:to>
    <xdr:graphicFrame macro="">
      <xdr:nvGraphicFramePr>
        <xdr:cNvPr id="117" name="Diagram 116">
          <a:extLst>
            <a:ext uri="{FF2B5EF4-FFF2-40B4-BE49-F238E27FC236}">
              <a16:creationId xmlns:a16="http://schemas.microsoft.com/office/drawing/2014/main" id="{CF2DB1ED-16F8-4F03-9CD2-FAD122990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11205</xdr:colOff>
      <xdr:row>955</xdr:row>
      <xdr:rowOff>34737</xdr:rowOff>
    </xdr:from>
    <xdr:to>
      <xdr:col>6</xdr:col>
      <xdr:colOff>521294</xdr:colOff>
      <xdr:row>980</xdr:row>
      <xdr:rowOff>72679</xdr:rowOff>
    </xdr:to>
    <xdr:graphicFrame macro="">
      <xdr:nvGraphicFramePr>
        <xdr:cNvPr id="118" name="Diagram 117">
          <a:extLst>
            <a:ext uri="{FF2B5EF4-FFF2-40B4-BE49-F238E27FC236}">
              <a16:creationId xmlns:a16="http://schemas.microsoft.com/office/drawing/2014/main" id="{6B6224A4-D916-4199-A9BF-63431F11BD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925</xdr:row>
      <xdr:rowOff>23531</xdr:rowOff>
    </xdr:from>
    <xdr:to>
      <xdr:col>6</xdr:col>
      <xdr:colOff>510089</xdr:colOff>
      <xdr:row>950</xdr:row>
      <xdr:rowOff>61472</xdr:rowOff>
    </xdr:to>
    <xdr:graphicFrame macro="">
      <xdr:nvGraphicFramePr>
        <xdr:cNvPr id="119" name="Diagram 118">
          <a:extLst>
            <a:ext uri="{FF2B5EF4-FFF2-40B4-BE49-F238E27FC236}">
              <a16:creationId xmlns:a16="http://schemas.microsoft.com/office/drawing/2014/main" id="{8E5998E8-80DE-486F-B7D0-AFE62D39E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0</xdr:col>
      <xdr:colOff>602876</xdr:colOff>
      <xdr:row>985</xdr:row>
      <xdr:rowOff>55750</xdr:rowOff>
    </xdr:from>
    <xdr:to>
      <xdr:col>6</xdr:col>
      <xdr:colOff>511208</xdr:colOff>
      <xdr:row>1009</xdr:row>
      <xdr:rowOff>129551</xdr:rowOff>
    </xdr:to>
    <xdr:graphicFrame macro="">
      <xdr:nvGraphicFramePr>
        <xdr:cNvPr id="120" name="Diagram 119">
          <a:extLst>
            <a:ext uri="{FF2B5EF4-FFF2-40B4-BE49-F238E27FC236}">
              <a16:creationId xmlns:a16="http://schemas.microsoft.com/office/drawing/2014/main" id="{0F3D1725-97EB-4E92-A7EF-DF7929B6B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0</xdr:col>
      <xdr:colOff>110140</xdr:colOff>
      <xdr:row>2</xdr:row>
      <xdr:rowOff>56030</xdr:rowOff>
    </xdr:from>
    <xdr:to>
      <xdr:col>15</xdr:col>
      <xdr:colOff>461656</xdr:colOff>
      <xdr:row>48</xdr:row>
      <xdr:rowOff>0</xdr:rowOff>
    </xdr:to>
    <xdr:grpSp>
      <xdr:nvGrpSpPr>
        <xdr:cNvPr id="121" name="Gruppe 120">
          <a:extLst>
            <a:ext uri="{FF2B5EF4-FFF2-40B4-BE49-F238E27FC236}">
              <a16:creationId xmlns:a16="http://schemas.microsoft.com/office/drawing/2014/main" id="{13E4FEFC-7DB8-45BD-94EE-FD5D3DAEDBD0}"/>
            </a:ext>
          </a:extLst>
        </xdr:cNvPr>
        <xdr:cNvGrpSpPr/>
      </xdr:nvGrpSpPr>
      <xdr:grpSpPr>
        <a:xfrm>
          <a:off x="110140" y="518673"/>
          <a:ext cx="16693695" cy="7455113"/>
          <a:chOff x="110140" y="513230"/>
          <a:chExt cx="16639266" cy="7392520"/>
        </a:xfrm>
      </xdr:grpSpPr>
      <xdr:grpSp>
        <xdr:nvGrpSpPr>
          <xdr:cNvPr id="122" name="Gruppe 121">
            <a:extLst>
              <a:ext uri="{FF2B5EF4-FFF2-40B4-BE49-F238E27FC236}">
                <a16:creationId xmlns:a16="http://schemas.microsoft.com/office/drawing/2014/main" id="{54335399-00C6-4B8B-9972-E8A2E2EAECEA}"/>
              </a:ext>
            </a:extLst>
          </xdr:cNvPr>
          <xdr:cNvGrpSpPr/>
        </xdr:nvGrpSpPr>
        <xdr:grpSpPr>
          <a:xfrm>
            <a:off x="112741" y="513230"/>
            <a:ext cx="3239870" cy="1908865"/>
            <a:chOff x="112742" y="504265"/>
            <a:chExt cx="3240961" cy="1848969"/>
          </a:xfrm>
        </xdr:grpSpPr>
        <xdr:sp macro="" textlink="">
          <xdr:nvSpPr>
            <xdr:cNvPr id="159" name="Rektangel 158">
              <a:extLst>
                <a:ext uri="{FF2B5EF4-FFF2-40B4-BE49-F238E27FC236}">
                  <a16:creationId xmlns:a16="http://schemas.microsoft.com/office/drawing/2014/main" id="{A5681D5A-C8B2-4697-923A-1022668B0155}"/>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160" name="Rektangel 159">
              <a:hlinkClick xmlns:r="http://schemas.openxmlformats.org/officeDocument/2006/relationships" r:id="rId26"/>
              <a:extLst>
                <a:ext uri="{FF2B5EF4-FFF2-40B4-BE49-F238E27FC236}">
                  <a16:creationId xmlns:a16="http://schemas.microsoft.com/office/drawing/2014/main" id="{EAC2CF7E-CEA0-4E57-B5A6-3FC83AF35A05}"/>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grpSp>
        <xdr:nvGrpSpPr>
          <xdr:cNvPr id="123" name="Gruppe 122">
            <a:extLst>
              <a:ext uri="{FF2B5EF4-FFF2-40B4-BE49-F238E27FC236}">
                <a16:creationId xmlns:a16="http://schemas.microsoft.com/office/drawing/2014/main" id="{AAE43EAA-B30A-4534-8A87-C737E6B46E8A}"/>
              </a:ext>
            </a:extLst>
          </xdr:cNvPr>
          <xdr:cNvGrpSpPr/>
        </xdr:nvGrpSpPr>
        <xdr:grpSpPr>
          <a:xfrm>
            <a:off x="110140" y="2537790"/>
            <a:ext cx="3239870" cy="4442448"/>
            <a:chOff x="110140" y="2465299"/>
            <a:chExt cx="3240961" cy="4303054"/>
          </a:xfrm>
        </xdr:grpSpPr>
        <xdr:sp macro="" textlink="">
          <xdr:nvSpPr>
            <xdr:cNvPr id="154" name="Rektangel 153">
              <a:extLst>
                <a:ext uri="{FF2B5EF4-FFF2-40B4-BE49-F238E27FC236}">
                  <a16:creationId xmlns:a16="http://schemas.microsoft.com/office/drawing/2014/main" id="{854D6A61-B21C-46E5-AFD7-D5594650E466}"/>
                </a:ext>
              </a:extLst>
            </xdr:cNvPr>
            <xdr:cNvSpPr/>
          </xdr:nvSpPr>
          <xdr:spPr>
            <a:xfrm>
              <a:off x="110140" y="2465299"/>
              <a:ext cx="3240961" cy="43030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155" name="Rektangel 154">
              <a:hlinkClick xmlns:r="http://schemas.openxmlformats.org/officeDocument/2006/relationships" r:id="rId27"/>
              <a:extLst>
                <a:ext uri="{FF2B5EF4-FFF2-40B4-BE49-F238E27FC236}">
                  <a16:creationId xmlns:a16="http://schemas.microsoft.com/office/drawing/2014/main" id="{C12328BA-0EAE-4EDA-A175-08033BB0A53D}"/>
                </a:ext>
              </a:extLst>
            </xdr:cNvPr>
            <xdr:cNvSpPr/>
          </xdr:nvSpPr>
          <xdr:spPr>
            <a:xfrm>
              <a:off x="274910" y="3091468"/>
              <a:ext cx="2886644" cy="75998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brændsler</a:t>
              </a:r>
            </a:p>
          </xdr:txBody>
        </xdr:sp>
        <xdr:sp macro="" textlink="">
          <xdr:nvSpPr>
            <xdr:cNvPr id="156" name="Rektangel 155">
              <a:hlinkClick xmlns:r="http://schemas.openxmlformats.org/officeDocument/2006/relationships" r:id="rId28"/>
              <a:extLst>
                <a:ext uri="{FF2B5EF4-FFF2-40B4-BE49-F238E27FC236}">
                  <a16:creationId xmlns:a16="http://schemas.microsoft.com/office/drawing/2014/main" id="{61D9ECFF-D7AE-4683-BBEC-9F34B4A0BF87}"/>
                </a:ext>
              </a:extLst>
            </xdr:cNvPr>
            <xdr:cNvSpPr/>
          </xdr:nvSpPr>
          <xdr:spPr>
            <a:xfrm>
              <a:off x="274910" y="4003466"/>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opdelt på brændsler for basisår</a:t>
              </a:r>
            </a:p>
          </xdr:txBody>
        </xdr:sp>
        <xdr:sp macro="" textlink="">
          <xdr:nvSpPr>
            <xdr:cNvPr id="157" name="Rektangel 156">
              <a:hlinkClick xmlns:r="http://schemas.openxmlformats.org/officeDocument/2006/relationships" r:id="rId29"/>
              <a:extLst>
                <a:ext uri="{FF2B5EF4-FFF2-40B4-BE49-F238E27FC236}">
                  <a16:creationId xmlns:a16="http://schemas.microsoft.com/office/drawing/2014/main" id="{4B8CCF8F-7660-4BD7-BF54-E7E9C871ACE6}"/>
                </a:ext>
              </a:extLst>
            </xdr:cNvPr>
            <xdr:cNvSpPr/>
          </xdr:nvSpPr>
          <xdr:spPr>
            <a:xfrm>
              <a:off x="286116" y="4889524"/>
              <a:ext cx="2886644"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a:t>
              </a:r>
            </a:p>
          </xdr:txBody>
        </xdr:sp>
        <xdr:sp macro="" textlink="">
          <xdr:nvSpPr>
            <xdr:cNvPr id="158" name="Rektangel 157">
              <a:hlinkClick xmlns:r="http://schemas.openxmlformats.org/officeDocument/2006/relationships" r:id="rId30"/>
              <a:extLst>
                <a:ext uri="{FF2B5EF4-FFF2-40B4-BE49-F238E27FC236}">
                  <a16:creationId xmlns:a16="http://schemas.microsoft.com/office/drawing/2014/main" id="{D17D1CD8-97FB-4357-A414-E010337D77BA}"/>
                </a:ext>
              </a:extLst>
            </xdr:cNvPr>
            <xdr:cNvSpPr/>
          </xdr:nvSpPr>
          <xdr:spPr>
            <a:xfrm>
              <a:off x="287797" y="5774230"/>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 for basisår</a:t>
              </a:r>
            </a:p>
          </xdr:txBody>
        </xdr:sp>
      </xdr:grpSp>
      <xdr:grpSp>
        <xdr:nvGrpSpPr>
          <xdr:cNvPr id="124" name="Gruppe 123">
            <a:extLst>
              <a:ext uri="{FF2B5EF4-FFF2-40B4-BE49-F238E27FC236}">
                <a16:creationId xmlns:a16="http://schemas.microsoft.com/office/drawing/2014/main" id="{8CC0CD76-B22B-4BC5-BD55-CF5BABA49C2D}"/>
              </a:ext>
            </a:extLst>
          </xdr:cNvPr>
          <xdr:cNvGrpSpPr/>
        </xdr:nvGrpSpPr>
        <xdr:grpSpPr>
          <a:xfrm>
            <a:off x="13508815" y="528930"/>
            <a:ext cx="3240591" cy="4565580"/>
            <a:chOff x="13513327" y="519472"/>
            <a:chExt cx="3241682" cy="4422322"/>
          </a:xfrm>
        </xdr:grpSpPr>
        <xdr:sp macro="" textlink="">
          <xdr:nvSpPr>
            <xdr:cNvPr id="149" name="Rektangel 148">
              <a:extLst>
                <a:ext uri="{FF2B5EF4-FFF2-40B4-BE49-F238E27FC236}">
                  <a16:creationId xmlns:a16="http://schemas.microsoft.com/office/drawing/2014/main" id="{80F3CBC0-0538-43AA-9B74-484370D222B8}"/>
                </a:ext>
              </a:extLst>
            </xdr:cNvPr>
            <xdr:cNvSpPr/>
          </xdr:nvSpPr>
          <xdr:spPr>
            <a:xfrm>
              <a:off x="13513327" y="519472"/>
              <a:ext cx="3241682" cy="442232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150" name="Rektangel 149">
              <a:hlinkClick xmlns:r="http://schemas.openxmlformats.org/officeDocument/2006/relationships" r:id="rId31"/>
              <a:extLst>
                <a:ext uri="{FF2B5EF4-FFF2-40B4-BE49-F238E27FC236}">
                  <a16:creationId xmlns:a16="http://schemas.microsoft.com/office/drawing/2014/main" id="{DE272DA7-35E4-419A-A233-363FB30E668A}"/>
                </a:ext>
              </a:extLst>
            </xdr:cNvPr>
            <xdr:cNvSpPr/>
          </xdr:nvSpPr>
          <xdr:spPr>
            <a:xfrm>
              <a:off x="13689896" y="3939508"/>
              <a:ext cx="2885043" cy="766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a:t> (produktion fordelt på brændsel)</a:t>
              </a:r>
            </a:p>
          </xdr:txBody>
        </xdr:sp>
        <xdr:sp macro="" textlink="">
          <xdr:nvSpPr>
            <xdr:cNvPr id="151" name="Rektangel 150">
              <a:hlinkClick xmlns:r="http://schemas.openxmlformats.org/officeDocument/2006/relationships" r:id="rId32"/>
              <a:extLst>
                <a:ext uri="{FF2B5EF4-FFF2-40B4-BE49-F238E27FC236}">
                  <a16:creationId xmlns:a16="http://schemas.microsoft.com/office/drawing/2014/main" id="{E2B459CB-3269-43CE-83D6-91C422D702FB}"/>
                </a:ext>
              </a:extLst>
            </xdr:cNvPr>
            <xdr:cNvSpPr/>
          </xdr:nvSpPr>
          <xdr:spPr>
            <a:xfrm>
              <a:off x="13685172" y="1247455"/>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anlægstype)</a:t>
              </a:r>
            </a:p>
          </xdr:txBody>
        </xdr:sp>
        <xdr:sp macro="" textlink="">
          <xdr:nvSpPr>
            <xdr:cNvPr id="152" name="Rektangel 151">
              <a:hlinkClick xmlns:r="http://schemas.openxmlformats.org/officeDocument/2006/relationships" r:id="rId33"/>
              <a:extLst>
                <a:ext uri="{FF2B5EF4-FFF2-40B4-BE49-F238E27FC236}">
                  <a16:creationId xmlns:a16="http://schemas.microsoft.com/office/drawing/2014/main" id="{21A6F1C0-C351-49DA-9B4F-36FD588EC366}"/>
                </a:ext>
              </a:extLst>
            </xdr:cNvPr>
            <xdr:cNvSpPr/>
          </xdr:nvSpPr>
          <xdr:spPr>
            <a:xfrm>
              <a:off x="13686855" y="2154331"/>
              <a:ext cx="2885043"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brændsel)</a:t>
              </a:r>
            </a:p>
          </xdr:txBody>
        </xdr:sp>
        <xdr:sp macro="" textlink="">
          <xdr:nvSpPr>
            <xdr:cNvPr id="153" name="Rektangel 152">
              <a:hlinkClick xmlns:r="http://schemas.openxmlformats.org/officeDocument/2006/relationships" r:id="rId34"/>
              <a:extLst>
                <a:ext uri="{FF2B5EF4-FFF2-40B4-BE49-F238E27FC236}">
                  <a16:creationId xmlns:a16="http://schemas.microsoft.com/office/drawing/2014/main" id="{C4FD8262-CBEE-4211-828A-1042506B6429}"/>
                </a:ext>
              </a:extLst>
            </xdr:cNvPr>
            <xdr:cNvSpPr/>
          </xdr:nvSpPr>
          <xdr:spPr>
            <a:xfrm>
              <a:off x="13694379" y="3047521"/>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baseline="0"/>
                <a:t> </a:t>
              </a:r>
              <a:r>
                <a:rPr lang="da-DK" sz="1400" b="1"/>
                <a:t>(produktion fordelt på anlægstype)</a:t>
              </a:r>
            </a:p>
          </xdr:txBody>
        </xdr:sp>
      </xdr:grpSp>
      <xdr:grpSp>
        <xdr:nvGrpSpPr>
          <xdr:cNvPr id="125" name="Gruppe 124">
            <a:extLst>
              <a:ext uri="{FF2B5EF4-FFF2-40B4-BE49-F238E27FC236}">
                <a16:creationId xmlns:a16="http://schemas.microsoft.com/office/drawing/2014/main" id="{A9F36ED9-74A1-42E8-8E99-18A36552F09F}"/>
              </a:ext>
            </a:extLst>
          </xdr:cNvPr>
          <xdr:cNvGrpSpPr/>
        </xdr:nvGrpSpPr>
        <xdr:grpSpPr>
          <a:xfrm>
            <a:off x="3473334" y="529341"/>
            <a:ext cx="6479499" cy="7376409"/>
            <a:chOff x="3474467" y="519870"/>
            <a:chExt cx="6481681" cy="7144954"/>
          </a:xfrm>
        </xdr:grpSpPr>
        <xdr:sp macro="" textlink="">
          <xdr:nvSpPr>
            <xdr:cNvPr id="135" name="Rektangel 134">
              <a:extLst>
                <a:ext uri="{FF2B5EF4-FFF2-40B4-BE49-F238E27FC236}">
                  <a16:creationId xmlns:a16="http://schemas.microsoft.com/office/drawing/2014/main" id="{DFDAA88B-A604-4471-8113-12C808585510}"/>
                </a:ext>
              </a:extLst>
            </xdr:cNvPr>
            <xdr:cNvSpPr/>
          </xdr:nvSpPr>
          <xdr:spPr>
            <a:xfrm>
              <a:off x="3474467" y="519870"/>
              <a:ext cx="6481681"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136" name="Rektangel 135">
              <a:hlinkClick xmlns:r="http://schemas.openxmlformats.org/officeDocument/2006/relationships" r:id="rId35"/>
              <a:extLst>
                <a:ext uri="{FF2B5EF4-FFF2-40B4-BE49-F238E27FC236}">
                  <a16:creationId xmlns:a16="http://schemas.microsoft.com/office/drawing/2014/main" id="{4A3DDEA2-D824-4766-A09C-DE8402CD21CC}"/>
                </a:ext>
              </a:extLst>
            </xdr:cNvPr>
            <xdr:cNvSpPr/>
          </xdr:nvSpPr>
          <xdr:spPr>
            <a:xfrm>
              <a:off x="3685578" y="1318079"/>
              <a:ext cx="2885042"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137" name="Rektangel 136">
              <a:hlinkClick xmlns:r="http://schemas.openxmlformats.org/officeDocument/2006/relationships" r:id="rId36"/>
              <a:extLst>
                <a:ext uri="{FF2B5EF4-FFF2-40B4-BE49-F238E27FC236}">
                  <a16:creationId xmlns:a16="http://schemas.microsoft.com/office/drawing/2014/main" id="{F4D771C0-C46E-4998-8DDC-595D622B64B1}"/>
                </a:ext>
              </a:extLst>
            </xdr:cNvPr>
            <xdr:cNvSpPr/>
          </xdr:nvSpPr>
          <xdr:spPr>
            <a:xfrm>
              <a:off x="3687380" y="2204121"/>
              <a:ext cx="2885042"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138" name="Rektangel 137">
              <a:hlinkClick xmlns:r="http://schemas.openxmlformats.org/officeDocument/2006/relationships" r:id="rId37"/>
              <a:extLst>
                <a:ext uri="{FF2B5EF4-FFF2-40B4-BE49-F238E27FC236}">
                  <a16:creationId xmlns:a16="http://schemas.microsoft.com/office/drawing/2014/main" id="{712E8C11-EC7A-40F7-B803-D0D6FE649CB1}"/>
                </a:ext>
              </a:extLst>
            </xdr:cNvPr>
            <xdr:cNvSpPr/>
          </xdr:nvSpPr>
          <xdr:spPr>
            <a:xfrm>
              <a:off x="3698586" y="3092188"/>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139" name="Rektangel 138">
              <a:hlinkClick xmlns:r="http://schemas.openxmlformats.org/officeDocument/2006/relationships" r:id="rId38"/>
              <a:extLst>
                <a:ext uri="{FF2B5EF4-FFF2-40B4-BE49-F238E27FC236}">
                  <a16:creationId xmlns:a16="http://schemas.microsoft.com/office/drawing/2014/main" id="{C804D576-F4FF-4EB5-9BBF-2A2CB16F48EB}"/>
                </a:ext>
              </a:extLst>
            </xdr:cNvPr>
            <xdr:cNvSpPr/>
          </xdr:nvSpPr>
          <xdr:spPr>
            <a:xfrm>
              <a:off x="3687380" y="3989779"/>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140" name="Rektangel 139">
              <a:hlinkClick xmlns:r="http://schemas.openxmlformats.org/officeDocument/2006/relationships" r:id="rId39"/>
              <a:extLst>
                <a:ext uri="{FF2B5EF4-FFF2-40B4-BE49-F238E27FC236}">
                  <a16:creationId xmlns:a16="http://schemas.microsoft.com/office/drawing/2014/main" id="{1089B025-9872-4FA0-B139-CE4F0819DD00}"/>
                </a:ext>
              </a:extLst>
            </xdr:cNvPr>
            <xdr:cNvSpPr/>
          </xdr:nvSpPr>
          <xdr:spPr>
            <a:xfrm>
              <a:off x="3685699" y="4869441"/>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141" name="Rektangel 140">
              <a:hlinkClick xmlns:r="http://schemas.openxmlformats.org/officeDocument/2006/relationships" r:id="rId40"/>
              <a:extLst>
                <a:ext uri="{FF2B5EF4-FFF2-40B4-BE49-F238E27FC236}">
                  <a16:creationId xmlns:a16="http://schemas.microsoft.com/office/drawing/2014/main" id="{1BA11EBE-01B1-4E38-B4C2-F7ABEA2CA31C}"/>
                </a:ext>
              </a:extLst>
            </xdr:cNvPr>
            <xdr:cNvSpPr/>
          </xdr:nvSpPr>
          <xdr:spPr>
            <a:xfrm>
              <a:off x="3687380" y="5765352"/>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142" name="Rektangel 141">
              <a:hlinkClick xmlns:r="http://schemas.openxmlformats.org/officeDocument/2006/relationships" r:id="rId41"/>
              <a:extLst>
                <a:ext uri="{FF2B5EF4-FFF2-40B4-BE49-F238E27FC236}">
                  <a16:creationId xmlns:a16="http://schemas.microsoft.com/office/drawing/2014/main" id="{6A991268-06AA-4A99-BFC8-AE877AF9BB70}"/>
                </a:ext>
              </a:extLst>
            </xdr:cNvPr>
            <xdr:cNvSpPr/>
          </xdr:nvSpPr>
          <xdr:spPr>
            <a:xfrm>
              <a:off x="6839791" y="4870346"/>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143" name="Rektangel 142">
              <a:hlinkClick xmlns:r="http://schemas.openxmlformats.org/officeDocument/2006/relationships" r:id="rId42"/>
              <a:extLst>
                <a:ext uri="{FF2B5EF4-FFF2-40B4-BE49-F238E27FC236}">
                  <a16:creationId xmlns:a16="http://schemas.microsoft.com/office/drawing/2014/main" id="{B706CE8C-924A-40EC-AB73-12371FCFA219}"/>
                </a:ext>
              </a:extLst>
            </xdr:cNvPr>
            <xdr:cNvSpPr/>
          </xdr:nvSpPr>
          <xdr:spPr>
            <a:xfrm>
              <a:off x="6848161" y="5755267"/>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144" name="Rektangel 143">
              <a:hlinkClick xmlns:r="http://schemas.openxmlformats.org/officeDocument/2006/relationships" r:id="rId43"/>
              <a:extLst>
                <a:ext uri="{FF2B5EF4-FFF2-40B4-BE49-F238E27FC236}">
                  <a16:creationId xmlns:a16="http://schemas.microsoft.com/office/drawing/2014/main" id="{AEFA2503-7CD4-42FA-B70D-3B684BDC1647}"/>
                </a:ext>
              </a:extLst>
            </xdr:cNvPr>
            <xdr:cNvSpPr/>
          </xdr:nvSpPr>
          <xdr:spPr>
            <a:xfrm>
              <a:off x="6844800" y="6647815"/>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a:t>
              </a:r>
            </a:p>
          </xdr:txBody>
        </xdr:sp>
        <xdr:sp macro="" textlink="">
          <xdr:nvSpPr>
            <xdr:cNvPr id="145" name="Rektangel 144">
              <a:hlinkClick xmlns:r="http://schemas.openxmlformats.org/officeDocument/2006/relationships" r:id="rId44"/>
              <a:extLst>
                <a:ext uri="{FF2B5EF4-FFF2-40B4-BE49-F238E27FC236}">
                  <a16:creationId xmlns:a16="http://schemas.microsoft.com/office/drawing/2014/main" id="{8A5DEB72-8352-4A44-AA19-C3101125154E}"/>
                </a:ext>
              </a:extLst>
            </xdr:cNvPr>
            <xdr:cNvSpPr/>
          </xdr:nvSpPr>
          <xdr:spPr>
            <a:xfrm>
              <a:off x="6823228" y="1307433"/>
              <a:ext cx="288264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146" name="Rektangel 145">
              <a:hlinkClick xmlns:r="http://schemas.openxmlformats.org/officeDocument/2006/relationships" r:id="rId45"/>
              <a:extLst>
                <a:ext uri="{FF2B5EF4-FFF2-40B4-BE49-F238E27FC236}">
                  <a16:creationId xmlns:a16="http://schemas.microsoft.com/office/drawing/2014/main" id="{B8C3A7A5-EE16-4E5E-A2C7-327FA9C21123}"/>
                </a:ext>
              </a:extLst>
            </xdr:cNvPr>
            <xdr:cNvSpPr/>
          </xdr:nvSpPr>
          <xdr:spPr>
            <a:xfrm>
              <a:off x="6819266" y="2195715"/>
              <a:ext cx="288264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147" name="Rektangel 146">
              <a:hlinkClick xmlns:r="http://schemas.openxmlformats.org/officeDocument/2006/relationships" r:id="rId46"/>
              <a:extLst>
                <a:ext uri="{FF2B5EF4-FFF2-40B4-BE49-F238E27FC236}">
                  <a16:creationId xmlns:a16="http://schemas.microsoft.com/office/drawing/2014/main" id="{69EAC685-89C5-4237-8BB9-A77F267CCAC3}"/>
                </a:ext>
              </a:extLst>
            </xdr:cNvPr>
            <xdr:cNvSpPr/>
          </xdr:nvSpPr>
          <xdr:spPr>
            <a:xfrm>
              <a:off x="6829512" y="3087143"/>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omsætningsenheder for  VE og fossil</a:t>
              </a:r>
            </a:p>
          </xdr:txBody>
        </xdr:sp>
        <xdr:sp macro="" textlink="">
          <xdr:nvSpPr>
            <xdr:cNvPr id="148" name="Rektangel 147">
              <a:hlinkClick xmlns:r="http://schemas.openxmlformats.org/officeDocument/2006/relationships" r:id="rId47"/>
              <a:extLst>
                <a:ext uri="{FF2B5EF4-FFF2-40B4-BE49-F238E27FC236}">
                  <a16:creationId xmlns:a16="http://schemas.microsoft.com/office/drawing/2014/main" id="{8D0C4BDB-AD41-4CF4-9B99-F190EA83137F}"/>
                </a:ext>
              </a:extLst>
            </xdr:cNvPr>
            <xdr:cNvSpPr/>
          </xdr:nvSpPr>
          <xdr:spPr>
            <a:xfrm>
              <a:off x="6832753" y="3981159"/>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grpSp>
      <xdr:grpSp>
        <xdr:nvGrpSpPr>
          <xdr:cNvPr id="126" name="Gruppe 125">
            <a:extLst>
              <a:ext uri="{FF2B5EF4-FFF2-40B4-BE49-F238E27FC236}">
                <a16:creationId xmlns:a16="http://schemas.microsoft.com/office/drawing/2014/main" id="{BBB70BF9-DB1E-4D4A-AFEF-454A69FDD2F2}"/>
              </a:ext>
            </a:extLst>
          </xdr:cNvPr>
          <xdr:cNvGrpSpPr/>
        </xdr:nvGrpSpPr>
        <xdr:grpSpPr>
          <a:xfrm>
            <a:off x="10098348" y="524797"/>
            <a:ext cx="3247310" cy="7380953"/>
            <a:chOff x="10101711" y="515469"/>
            <a:chExt cx="3248403" cy="7149355"/>
          </a:xfrm>
        </xdr:grpSpPr>
        <xdr:sp macro="" textlink="">
          <xdr:nvSpPr>
            <xdr:cNvPr id="127" name="Rektangel 126">
              <a:extLst>
                <a:ext uri="{FF2B5EF4-FFF2-40B4-BE49-F238E27FC236}">
                  <a16:creationId xmlns:a16="http://schemas.microsoft.com/office/drawing/2014/main" id="{E21518A7-5486-499E-8B32-A54772191173}"/>
                </a:ext>
              </a:extLst>
            </xdr:cNvPr>
            <xdr:cNvSpPr/>
          </xdr:nvSpPr>
          <xdr:spPr>
            <a:xfrm>
              <a:off x="10101711" y="515469"/>
              <a:ext cx="3248403" cy="714935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solidFill>
                    <a:sysClr val="windowText" lastClr="000000"/>
                  </a:solidFill>
                </a:rPr>
                <a:t>Udvidede</a:t>
              </a:r>
              <a:r>
                <a:rPr lang="da-DK" sz="2000" b="1" baseline="0">
                  <a:solidFill>
                    <a:sysClr val="windowText" lastClr="000000"/>
                  </a:solidFill>
                </a:rPr>
                <a:t> endelige energiforbrug &amp; slutforbrug</a:t>
              </a:r>
              <a:endParaRPr lang="da-DK" sz="2000" b="1">
                <a:solidFill>
                  <a:sysClr val="windowText" lastClr="000000"/>
                </a:solidFill>
              </a:endParaRPr>
            </a:p>
          </xdr:txBody>
        </xdr:sp>
        <xdr:sp macro="" textlink="">
          <xdr:nvSpPr>
            <xdr:cNvPr id="128" name="Rektangel 127">
              <a:hlinkClick xmlns:r="http://schemas.openxmlformats.org/officeDocument/2006/relationships" r:id="rId48"/>
              <a:extLst>
                <a:ext uri="{FF2B5EF4-FFF2-40B4-BE49-F238E27FC236}">
                  <a16:creationId xmlns:a16="http://schemas.microsoft.com/office/drawing/2014/main" id="{E2BAB3B0-5A17-4D76-81D1-72E87391B9E7}"/>
                </a:ext>
              </a:extLst>
            </xdr:cNvPr>
            <xdr:cNvSpPr/>
          </xdr:nvSpPr>
          <xdr:spPr>
            <a:xfrm>
              <a:off x="10294522" y="1280787"/>
              <a:ext cx="2881199"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129" name="Rektangel 128">
              <a:hlinkClick xmlns:r="http://schemas.openxmlformats.org/officeDocument/2006/relationships" r:id="rId49"/>
              <a:extLst>
                <a:ext uri="{FF2B5EF4-FFF2-40B4-BE49-F238E27FC236}">
                  <a16:creationId xmlns:a16="http://schemas.microsoft.com/office/drawing/2014/main" id="{4BCC5AAA-A840-4851-9251-9F0B381CA008}"/>
                </a:ext>
              </a:extLst>
            </xdr:cNvPr>
            <xdr:cNvSpPr/>
          </xdr:nvSpPr>
          <xdr:spPr>
            <a:xfrm>
              <a:off x="10303577" y="3958660"/>
              <a:ext cx="2893445"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fordelt på kategorier</a:t>
              </a:r>
            </a:p>
          </xdr:txBody>
        </xdr:sp>
        <xdr:sp macro="" textlink="">
          <xdr:nvSpPr>
            <xdr:cNvPr id="130" name="Rektangel 129">
              <a:hlinkClick xmlns:r="http://schemas.openxmlformats.org/officeDocument/2006/relationships" r:id="rId50"/>
              <a:extLst>
                <a:ext uri="{FF2B5EF4-FFF2-40B4-BE49-F238E27FC236}">
                  <a16:creationId xmlns:a16="http://schemas.microsoft.com/office/drawing/2014/main" id="{84B52795-1F18-4569-BB2D-CF99D707F0B7}"/>
                </a:ext>
              </a:extLst>
            </xdr:cNvPr>
            <xdr:cNvSpPr/>
          </xdr:nvSpPr>
          <xdr:spPr>
            <a:xfrm>
              <a:off x="10299886" y="2154490"/>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131" name="Rektangel 130">
              <a:hlinkClick xmlns:r="http://schemas.openxmlformats.org/officeDocument/2006/relationships" r:id="rId51"/>
              <a:extLst>
                <a:ext uri="{FF2B5EF4-FFF2-40B4-BE49-F238E27FC236}">
                  <a16:creationId xmlns:a16="http://schemas.microsoft.com/office/drawing/2014/main" id="{C1339DDD-92F5-49D3-A7DA-4D4F17B27619}"/>
                </a:ext>
              </a:extLst>
            </xdr:cNvPr>
            <xdr:cNvSpPr/>
          </xdr:nvSpPr>
          <xdr:spPr>
            <a:xfrm>
              <a:off x="10313494" y="3037274"/>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brændsler</a:t>
              </a:r>
            </a:p>
          </xdr:txBody>
        </xdr:sp>
        <xdr:sp macro="" textlink="">
          <xdr:nvSpPr>
            <xdr:cNvPr id="132" name="Rektangel 131">
              <a:hlinkClick xmlns:r="http://schemas.openxmlformats.org/officeDocument/2006/relationships" r:id="rId52"/>
              <a:extLst>
                <a:ext uri="{FF2B5EF4-FFF2-40B4-BE49-F238E27FC236}">
                  <a16:creationId xmlns:a16="http://schemas.microsoft.com/office/drawing/2014/main" id="{1B6F87E5-9DED-47E9-AC46-8069EBB1E6A9}"/>
                </a:ext>
              </a:extLst>
            </xdr:cNvPr>
            <xdr:cNvSpPr/>
          </xdr:nvSpPr>
          <xdr:spPr>
            <a:xfrm>
              <a:off x="10309411" y="4863078"/>
              <a:ext cx="288120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fordelt på anlægstype</a:t>
              </a:r>
            </a:p>
          </xdr:txBody>
        </xdr:sp>
        <xdr:sp macro="" textlink="">
          <xdr:nvSpPr>
            <xdr:cNvPr id="133" name="Rektangel 132">
              <a:hlinkClick xmlns:r="http://schemas.openxmlformats.org/officeDocument/2006/relationships" r:id="rId53"/>
              <a:extLst>
                <a:ext uri="{FF2B5EF4-FFF2-40B4-BE49-F238E27FC236}">
                  <a16:creationId xmlns:a16="http://schemas.microsoft.com/office/drawing/2014/main" id="{023185EB-4BC3-42A6-86B1-F02444FC06CB}"/>
                </a:ext>
              </a:extLst>
            </xdr:cNvPr>
            <xdr:cNvSpPr/>
          </xdr:nvSpPr>
          <xdr:spPr>
            <a:xfrm>
              <a:off x="10298526" y="5757045"/>
              <a:ext cx="288120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opdelt på anlægstype for basisår</a:t>
              </a:r>
            </a:p>
          </xdr:txBody>
        </xdr:sp>
        <xdr:sp macro="" textlink="">
          <xdr:nvSpPr>
            <xdr:cNvPr id="134" name="Rektangel 133">
              <a:hlinkClick xmlns:r="http://schemas.openxmlformats.org/officeDocument/2006/relationships" r:id="rId54"/>
              <a:extLst>
                <a:ext uri="{FF2B5EF4-FFF2-40B4-BE49-F238E27FC236}">
                  <a16:creationId xmlns:a16="http://schemas.microsoft.com/office/drawing/2014/main" id="{C30D95CF-9FD5-410A-A11E-73D898C73258}"/>
                </a:ext>
              </a:extLst>
            </xdr:cNvPr>
            <xdr:cNvSpPr/>
          </xdr:nvSpPr>
          <xdr:spPr>
            <a:xfrm>
              <a:off x="10287640" y="6653037"/>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a:t>
              </a:r>
              <a:r>
                <a:rPr lang="da-DK" sz="1400" b="1" baseline="0"/>
                <a:t> </a:t>
              </a:r>
              <a:r>
                <a:rPr lang="da-DK" sz="1400" b="1"/>
                <a:t>af varme fordelt på anlægstype</a:t>
              </a:r>
            </a:p>
          </xdr:txBody>
        </xdr:sp>
      </xdr:grpSp>
    </xdr:grpSp>
    <xdr:clientData/>
  </xdr:twoCellAnchor>
  <xdr:twoCellAnchor>
    <xdr:from>
      <xdr:col>7</xdr:col>
      <xdr:colOff>22411</xdr:colOff>
      <xdr:row>63</xdr:row>
      <xdr:rowOff>26894</xdr:rowOff>
    </xdr:from>
    <xdr:to>
      <xdr:col>14</xdr:col>
      <xdr:colOff>36980</xdr:colOff>
      <xdr:row>86</xdr:row>
      <xdr:rowOff>151115</xdr:rowOff>
    </xdr:to>
    <xdr:graphicFrame macro="">
      <xdr:nvGraphicFramePr>
        <xdr:cNvPr id="161" name="Diagram 15">
          <a:extLst>
            <a:ext uri="{FF2B5EF4-FFF2-40B4-BE49-F238E27FC236}">
              <a16:creationId xmlns:a16="http://schemas.microsoft.com/office/drawing/2014/main" id="{B2A81CF7-C237-47F2-9D3D-E30AB8A9613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162" name="Tekstboks 77">
          <a:extLst>
            <a:ext uri="{FF2B5EF4-FFF2-40B4-BE49-F238E27FC236}">
              <a16:creationId xmlns:a16="http://schemas.microsoft.com/office/drawing/2014/main" id="{4DD80013-2BA7-47B9-A53A-0204CE55652A}"/>
            </a:ext>
          </a:extLst>
        </xdr:cNvPr>
        <xdr:cNvSpPr txBox="1"/>
      </xdr:nvSpPr>
      <xdr:spPr>
        <a:xfrm>
          <a:off x="8450354" y="8878981"/>
          <a:ext cx="4271119"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twoCellAnchor>
    <xdr:from>
      <xdr:col>0</xdr:col>
      <xdr:colOff>601195</xdr:colOff>
      <xdr:row>1032</xdr:row>
      <xdr:rowOff>28573</xdr:rowOff>
    </xdr:from>
    <xdr:to>
      <xdr:col>6</xdr:col>
      <xdr:colOff>506166</xdr:colOff>
      <xdr:row>1057</xdr:row>
      <xdr:rowOff>66515</xdr:rowOff>
    </xdr:to>
    <xdr:graphicFrame macro="">
      <xdr:nvGraphicFramePr>
        <xdr:cNvPr id="163" name="Diagram 21">
          <a:extLst>
            <a:ext uri="{FF2B5EF4-FFF2-40B4-BE49-F238E27FC236}">
              <a16:creationId xmlns:a16="http://schemas.microsoft.com/office/drawing/2014/main" id="{7908D9F1-3EA3-45F1-A1A2-D2217A0B8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16808</xdr:colOff>
      <xdr:row>1083</xdr:row>
      <xdr:rowOff>33057</xdr:rowOff>
    </xdr:from>
    <xdr:to>
      <xdr:col>6</xdr:col>
      <xdr:colOff>526897</xdr:colOff>
      <xdr:row>1108</xdr:row>
      <xdr:rowOff>70998</xdr:rowOff>
    </xdr:to>
    <xdr:graphicFrame macro="">
      <xdr:nvGraphicFramePr>
        <xdr:cNvPr id="164" name="Diagram 15">
          <a:extLst>
            <a:ext uri="{FF2B5EF4-FFF2-40B4-BE49-F238E27FC236}">
              <a16:creationId xmlns:a16="http://schemas.microsoft.com/office/drawing/2014/main" id="{2CB9B5A8-E993-4952-9AE9-443DF8DE0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29695</xdr:colOff>
      <xdr:row>1132</xdr:row>
      <xdr:rowOff>17369</xdr:rowOff>
    </xdr:from>
    <xdr:to>
      <xdr:col>6</xdr:col>
      <xdr:colOff>539784</xdr:colOff>
      <xdr:row>1157</xdr:row>
      <xdr:rowOff>55310</xdr:rowOff>
    </xdr:to>
    <xdr:graphicFrame macro="">
      <xdr:nvGraphicFramePr>
        <xdr:cNvPr id="165" name="Diagram 21">
          <a:extLst>
            <a:ext uri="{FF2B5EF4-FFF2-40B4-BE49-F238E27FC236}">
              <a16:creationId xmlns:a16="http://schemas.microsoft.com/office/drawing/2014/main" id="{56E5C9F1-0AB6-4A44-B3E8-CE0C5E021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16807</xdr:colOff>
      <xdr:row>1183</xdr:row>
      <xdr:rowOff>21850</xdr:rowOff>
    </xdr:from>
    <xdr:to>
      <xdr:col>6</xdr:col>
      <xdr:colOff>526896</xdr:colOff>
      <xdr:row>1208</xdr:row>
      <xdr:rowOff>59791</xdr:rowOff>
    </xdr:to>
    <xdr:graphicFrame macro="">
      <xdr:nvGraphicFramePr>
        <xdr:cNvPr id="166" name="Diagram 15">
          <a:extLst>
            <a:ext uri="{FF2B5EF4-FFF2-40B4-BE49-F238E27FC236}">
              <a16:creationId xmlns:a16="http://schemas.microsoft.com/office/drawing/2014/main" id="{A72B78E3-A10F-49D0-BD9F-4067699AB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7</xdr:col>
      <xdr:colOff>0</xdr:colOff>
      <xdr:row>653</xdr:row>
      <xdr:rowOff>0</xdr:rowOff>
    </xdr:from>
    <xdr:to>
      <xdr:col>14</xdr:col>
      <xdr:colOff>298423</xdr:colOff>
      <xdr:row>678</xdr:row>
      <xdr:rowOff>37941</xdr:rowOff>
    </xdr:to>
    <xdr:graphicFrame macro="">
      <xdr:nvGraphicFramePr>
        <xdr:cNvPr id="167" name="Diagram 21">
          <a:extLst>
            <a:ext uri="{FF2B5EF4-FFF2-40B4-BE49-F238E27FC236}">
              <a16:creationId xmlns:a16="http://schemas.microsoft.com/office/drawing/2014/main" id="{4DF89B41-5298-474E-B663-04C32875B6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8</xdr:col>
      <xdr:colOff>0</xdr:colOff>
      <xdr:row>127</xdr:row>
      <xdr:rowOff>0</xdr:rowOff>
    </xdr:from>
    <xdr:to>
      <xdr:col>16</xdr:col>
      <xdr:colOff>346080</xdr:colOff>
      <xdr:row>151</xdr:row>
      <xdr:rowOff>73800</xdr:rowOff>
    </xdr:to>
    <xdr:graphicFrame macro="">
      <xdr:nvGraphicFramePr>
        <xdr:cNvPr id="168" name="Diagram 15">
          <a:extLst>
            <a:ext uri="{FF2B5EF4-FFF2-40B4-BE49-F238E27FC236}">
              <a16:creationId xmlns:a16="http://schemas.microsoft.com/office/drawing/2014/main" id="{8B1D325C-DD27-4251-B5CE-76170BBD0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9</xdr:col>
      <xdr:colOff>349250</xdr:colOff>
      <xdr:row>98</xdr:row>
      <xdr:rowOff>74083</xdr:rowOff>
    </xdr:from>
    <xdr:to>
      <xdr:col>17</xdr:col>
      <xdr:colOff>695330</xdr:colOff>
      <xdr:row>124</xdr:row>
      <xdr:rowOff>137299</xdr:rowOff>
    </xdr:to>
    <xdr:graphicFrame macro="">
      <xdr:nvGraphicFramePr>
        <xdr:cNvPr id="169" name="Diagram 15">
          <a:extLst>
            <a:ext uri="{FF2B5EF4-FFF2-40B4-BE49-F238E27FC236}">
              <a16:creationId xmlns:a16="http://schemas.microsoft.com/office/drawing/2014/main" id="{7E12CF47-125A-4D21-8B5B-5469BC8DD1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0</xdr:rowOff>
    </xdr:from>
    <xdr:to>
      <xdr:col>5</xdr:col>
      <xdr:colOff>0</xdr:colOff>
      <xdr:row>38</xdr:row>
      <xdr:rowOff>107156</xdr:rowOff>
    </xdr:to>
    <xdr:graphicFrame macro="">
      <xdr:nvGraphicFramePr>
        <xdr:cNvPr id="2" name="Diagram 21">
          <a:extLst>
            <a:ext uri="{FF2B5EF4-FFF2-40B4-BE49-F238E27FC236}">
              <a16:creationId xmlns:a16="http://schemas.microsoft.com/office/drawing/2014/main" id="{7D052251-20A6-48BF-A050-2BBE327A4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176326</xdr:colOff>
      <xdr:row>78</xdr:row>
      <xdr:rowOff>149679</xdr:rowOff>
    </xdr:from>
    <xdr:to>
      <xdr:col>6</xdr:col>
      <xdr:colOff>449036</xdr:colOff>
      <xdr:row>113</xdr:row>
      <xdr:rowOff>0</xdr:rowOff>
    </xdr:to>
    <xdr:graphicFrame macro="">
      <xdr:nvGraphicFramePr>
        <xdr:cNvPr id="3" name="Diagram 2">
          <a:extLst>
            <a:ext uri="{FF2B5EF4-FFF2-40B4-BE49-F238E27FC236}">
              <a16:creationId xmlns:a16="http://schemas.microsoft.com/office/drawing/2014/main" id="{E56C4D02-D77E-442B-A6CC-6EB74C6DC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176894</xdr:colOff>
      <xdr:row>113</xdr:row>
      <xdr:rowOff>95250</xdr:rowOff>
    </xdr:from>
    <xdr:to>
      <xdr:col>6</xdr:col>
      <xdr:colOff>462643</xdr:colOff>
      <xdr:row>144</xdr:row>
      <xdr:rowOff>149679</xdr:rowOff>
    </xdr:to>
    <xdr:graphicFrame macro="">
      <xdr:nvGraphicFramePr>
        <xdr:cNvPr id="4" name="Diagram 3">
          <a:extLst>
            <a:ext uri="{FF2B5EF4-FFF2-40B4-BE49-F238E27FC236}">
              <a16:creationId xmlns:a16="http://schemas.microsoft.com/office/drawing/2014/main" id="{C43354C4-E1FD-4052-9C27-55B04912C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882766</xdr:colOff>
      <xdr:row>113</xdr:row>
      <xdr:rowOff>136070</xdr:rowOff>
    </xdr:from>
    <xdr:to>
      <xdr:col>12</xdr:col>
      <xdr:colOff>843644</xdr:colOff>
      <xdr:row>144</xdr:row>
      <xdr:rowOff>122464</xdr:rowOff>
    </xdr:to>
    <xdr:graphicFrame macro="">
      <xdr:nvGraphicFramePr>
        <xdr:cNvPr id="5" name="Diagram 4">
          <a:extLst>
            <a:ext uri="{FF2B5EF4-FFF2-40B4-BE49-F238E27FC236}">
              <a16:creationId xmlns:a16="http://schemas.microsoft.com/office/drawing/2014/main" id="{DCDE39FE-DE32-4B56-9F51-D2E48B17E1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693963</xdr:colOff>
      <xdr:row>49</xdr:row>
      <xdr:rowOff>149678</xdr:rowOff>
    </xdr:from>
    <xdr:to>
      <xdr:col>12</xdr:col>
      <xdr:colOff>666749</xdr:colOff>
      <xdr:row>78</xdr:row>
      <xdr:rowOff>54426</xdr:rowOff>
    </xdr:to>
    <xdr:graphicFrame macro="">
      <xdr:nvGraphicFramePr>
        <xdr:cNvPr id="6" name="Diagram 5">
          <a:extLst>
            <a:ext uri="{FF2B5EF4-FFF2-40B4-BE49-F238E27FC236}">
              <a16:creationId xmlns:a16="http://schemas.microsoft.com/office/drawing/2014/main" id="{142D1B6F-1286-4DA8-8F22-E15376440E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775605</xdr:colOff>
      <xdr:row>78</xdr:row>
      <xdr:rowOff>131987</xdr:rowOff>
    </xdr:from>
    <xdr:to>
      <xdr:col>12</xdr:col>
      <xdr:colOff>1020535</xdr:colOff>
      <xdr:row>112</xdr:row>
      <xdr:rowOff>122463</xdr:rowOff>
    </xdr:to>
    <xdr:graphicFrame macro="">
      <xdr:nvGraphicFramePr>
        <xdr:cNvPr id="7" name="Diagram 6">
          <a:extLst>
            <a:ext uri="{FF2B5EF4-FFF2-40B4-BE49-F238E27FC236}">
              <a16:creationId xmlns:a16="http://schemas.microsoft.com/office/drawing/2014/main" id="{D7EBFCC2-C387-4A53-85D0-F685E2A09E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Blå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V122"/>
  <sheetViews>
    <sheetView showGridLines="0" showZeros="0" zoomScale="70" zoomScaleNormal="70" workbookViewId="0">
      <selection activeCell="AE14" sqref="AE14"/>
    </sheetView>
  </sheetViews>
  <sheetFormatPr defaultColWidth="9.140625" defaultRowHeight="12.75" x14ac:dyDescent="0.2"/>
  <cols>
    <col min="1" max="23" width="7.140625" style="1" customWidth="1"/>
    <col min="24" max="24" width="8.7109375" style="1" customWidth="1"/>
    <col min="25" max="25" width="57.5703125" style="1" bestFit="1" customWidth="1"/>
    <col min="26" max="29" width="5.7109375" style="1" customWidth="1"/>
    <col min="30" max="34" width="8.7109375" style="1" customWidth="1"/>
    <col min="35" max="43" width="7.140625" style="1" customWidth="1"/>
    <col min="44" max="16384" width="9.140625" style="1"/>
  </cols>
  <sheetData>
    <row r="1" spans="1:48" ht="15" customHeight="1" x14ac:dyDescent="0.2">
      <c r="A1" s="50" t="s">
        <v>48</v>
      </c>
      <c r="B1" s="51"/>
      <c r="C1" s="52"/>
      <c r="D1" s="402">
        <v>1807</v>
      </c>
      <c r="E1" s="403"/>
      <c r="H1" s="53"/>
      <c r="I1" s="53"/>
      <c r="K1" s="53"/>
      <c r="L1" s="53"/>
      <c r="M1" s="53"/>
      <c r="N1" s="53"/>
      <c r="O1" s="53"/>
      <c r="P1" s="53"/>
      <c r="Q1" s="53"/>
      <c r="R1" s="53"/>
      <c r="S1" s="53"/>
      <c r="T1" s="53"/>
      <c r="U1" s="53"/>
      <c r="V1" s="54"/>
      <c r="W1" s="54"/>
      <c r="X1" s="54"/>
      <c r="Y1" s="408" t="s">
        <v>73</v>
      </c>
      <c r="Z1" s="54"/>
      <c r="AA1" s="54"/>
      <c r="AB1" s="54"/>
      <c r="AC1" s="54"/>
      <c r="AD1" s="53"/>
      <c r="AE1" s="53"/>
      <c r="AF1" s="53"/>
      <c r="AG1" s="53"/>
      <c r="AH1" s="53"/>
      <c r="AI1" s="53"/>
      <c r="AJ1" s="53"/>
      <c r="AK1" s="53"/>
      <c r="AL1" s="53"/>
      <c r="AM1" s="53"/>
      <c r="AN1" s="53"/>
      <c r="AO1" s="53"/>
      <c r="AP1" s="53"/>
      <c r="AQ1" s="53"/>
    </row>
    <row r="2" spans="1:48" ht="15" customHeight="1" x14ac:dyDescent="0.2">
      <c r="A2" s="55" t="s">
        <v>50</v>
      </c>
      <c r="B2" s="53"/>
      <c r="D2" s="56">
        <v>91.85</v>
      </c>
      <c r="E2" s="57" t="s">
        <v>49</v>
      </c>
      <c r="H2" s="53"/>
      <c r="I2" s="53"/>
      <c r="J2" s="53"/>
      <c r="K2" s="53"/>
      <c r="L2" s="53"/>
      <c r="M2" s="53"/>
      <c r="N2" s="53"/>
      <c r="O2" s="53"/>
      <c r="P2" s="53"/>
      <c r="Q2" s="53"/>
      <c r="R2" s="53"/>
      <c r="S2" s="53"/>
      <c r="T2" s="53"/>
      <c r="U2" s="53"/>
      <c r="V2" s="54"/>
      <c r="W2" s="54"/>
      <c r="X2" s="54"/>
      <c r="Y2" s="408"/>
      <c r="Z2" s="54"/>
      <c r="AA2" s="54"/>
      <c r="AB2" s="54"/>
      <c r="AC2" s="54"/>
      <c r="AD2" s="53"/>
      <c r="AE2" s="53"/>
      <c r="AF2" s="53"/>
      <c r="AG2" s="53"/>
      <c r="AH2" s="53"/>
      <c r="AI2" s="53"/>
      <c r="AJ2" s="53"/>
      <c r="AK2" s="53"/>
      <c r="AL2" s="53"/>
      <c r="AM2" s="53"/>
      <c r="AN2" s="53"/>
      <c r="AO2" s="53"/>
      <c r="AP2" s="53"/>
      <c r="AQ2" s="53"/>
    </row>
    <row r="3" spans="1:48" ht="15" customHeight="1" thickBot="1" x14ac:dyDescent="0.25">
      <c r="A3" s="58" t="s">
        <v>46</v>
      </c>
      <c r="B3" s="59"/>
      <c r="C3" s="60"/>
      <c r="D3" s="5" t="s">
        <v>47</v>
      </c>
      <c r="E3" s="61"/>
      <c r="H3" s="53"/>
      <c r="I3" s="53"/>
      <c r="J3" s="53"/>
      <c r="K3" s="53"/>
      <c r="L3" s="53"/>
      <c r="M3" s="53"/>
      <c r="N3" s="53"/>
      <c r="O3" s="53"/>
      <c r="P3" s="53"/>
      <c r="Q3" s="53"/>
      <c r="R3" s="53"/>
      <c r="S3" s="53"/>
      <c r="T3" s="53"/>
      <c r="U3" s="53"/>
      <c r="V3" s="54"/>
      <c r="W3" s="54"/>
      <c r="X3" s="409" t="s">
        <v>339</v>
      </c>
      <c r="Y3" s="409"/>
      <c r="Z3" s="409"/>
      <c r="AA3" s="54"/>
      <c r="AB3" s="54"/>
      <c r="AC3" s="54"/>
      <c r="AD3" s="62"/>
      <c r="AE3" s="53"/>
      <c r="AF3" s="62"/>
      <c r="AG3" s="53"/>
      <c r="AH3" s="53"/>
      <c r="AI3" s="53"/>
      <c r="AJ3" s="53"/>
      <c r="AK3" s="53"/>
      <c r="AL3" s="53"/>
      <c r="AM3" s="53"/>
      <c r="AN3" s="53"/>
      <c r="AO3" s="53"/>
      <c r="AP3" s="53"/>
      <c r="AQ3" s="53"/>
    </row>
    <row r="4" spans="1:48" ht="15" customHeight="1" x14ac:dyDescent="0.2">
      <c r="A4" s="53"/>
      <c r="B4" s="53"/>
      <c r="C4" s="53"/>
      <c r="D4" s="53"/>
      <c r="E4" s="53"/>
      <c r="F4" s="53"/>
      <c r="G4" s="53"/>
      <c r="H4" s="53"/>
      <c r="I4" s="53"/>
      <c r="J4" s="53"/>
      <c r="K4" s="53"/>
      <c r="L4" s="53"/>
      <c r="M4" s="53"/>
      <c r="N4" s="53"/>
      <c r="O4" s="53"/>
      <c r="P4" s="53"/>
      <c r="Q4" s="53"/>
      <c r="R4" s="53"/>
      <c r="S4" s="53"/>
      <c r="T4" s="53"/>
      <c r="U4" s="53"/>
      <c r="V4" s="54"/>
      <c r="W4" s="54"/>
      <c r="X4" s="409"/>
      <c r="Y4" s="409"/>
      <c r="Z4" s="409"/>
      <c r="AA4" s="54"/>
      <c r="AB4" s="54"/>
      <c r="AC4" s="54"/>
      <c r="AD4" s="53"/>
      <c r="AE4" s="53"/>
      <c r="AF4" s="53"/>
      <c r="AG4" s="53"/>
      <c r="AH4" s="63"/>
      <c r="AI4" s="53"/>
      <c r="AJ4" s="53"/>
      <c r="AK4" s="53"/>
      <c r="AL4" s="53"/>
      <c r="AM4" s="53"/>
      <c r="AN4" s="53"/>
      <c r="AP4" s="53"/>
      <c r="AQ4" s="53"/>
    </row>
    <row r="5" spans="1:48" ht="15" customHeight="1" x14ac:dyDescent="0.2">
      <c r="A5" s="53"/>
      <c r="B5" s="53"/>
      <c r="C5" s="53"/>
      <c r="D5" s="53"/>
      <c r="E5" s="53"/>
      <c r="F5" s="53"/>
      <c r="G5" s="53"/>
      <c r="H5" s="53"/>
      <c r="I5" s="53"/>
      <c r="J5" s="53"/>
      <c r="K5" s="53"/>
      <c r="L5" s="53"/>
      <c r="M5" s="53"/>
      <c r="N5" s="53"/>
      <c r="O5" s="53"/>
      <c r="P5" s="53"/>
      <c r="Q5" s="53"/>
      <c r="R5" s="53"/>
      <c r="S5" s="53"/>
      <c r="T5" s="53"/>
      <c r="U5" s="53"/>
      <c r="V5" s="53"/>
      <c r="W5" s="53"/>
      <c r="X5" s="53"/>
      <c r="Z5" s="53"/>
      <c r="AA5" s="53"/>
      <c r="AB5" s="53"/>
      <c r="AC5" s="53"/>
      <c r="AD5" s="53"/>
      <c r="AE5" s="53"/>
      <c r="AF5" s="53"/>
      <c r="AG5" s="53"/>
      <c r="AH5" s="53"/>
      <c r="AI5" s="53"/>
      <c r="AJ5" s="53"/>
      <c r="AK5" s="53"/>
      <c r="AL5" s="53"/>
      <c r="AM5" s="53"/>
      <c r="AN5" s="53"/>
      <c r="AO5" s="53"/>
      <c r="AP5" s="53"/>
      <c r="AQ5" s="53"/>
    </row>
    <row r="6" spans="1:48" ht="15" customHeight="1" x14ac:dyDescent="0.25">
      <c r="A6" s="404" t="s">
        <v>0</v>
      </c>
      <c r="B6" s="404"/>
      <c r="C6" s="404"/>
      <c r="D6" s="404"/>
      <c r="E6" s="404"/>
      <c r="F6" s="404"/>
      <c r="G6" s="404"/>
      <c r="H6" s="404"/>
      <c r="I6" s="404"/>
      <c r="J6" s="404"/>
      <c r="K6" s="404"/>
      <c r="L6" s="404"/>
      <c r="M6" s="404"/>
      <c r="N6" s="404"/>
      <c r="O6" s="404"/>
      <c r="P6" s="404"/>
      <c r="Q6" s="404"/>
      <c r="R6" s="404"/>
      <c r="S6" s="404"/>
      <c r="T6" s="404"/>
      <c r="U6" s="404"/>
      <c r="V6" s="404"/>
      <c r="W6" s="404"/>
      <c r="X6" s="404"/>
      <c r="Y6" s="218" t="s">
        <v>51</v>
      </c>
      <c r="Z6" s="404" t="s">
        <v>104</v>
      </c>
      <c r="AA6" s="404"/>
      <c r="AB6" s="404"/>
      <c r="AC6" s="404"/>
      <c r="AD6" s="404" t="s">
        <v>53</v>
      </c>
      <c r="AE6" s="404"/>
      <c r="AF6" s="404" t="s">
        <v>52</v>
      </c>
      <c r="AG6" s="404"/>
      <c r="AH6" s="64"/>
      <c r="AI6" s="404" t="s">
        <v>1</v>
      </c>
      <c r="AJ6" s="404"/>
      <c r="AK6" s="404"/>
      <c r="AL6" s="404"/>
      <c r="AM6" s="404"/>
      <c r="AN6" s="404"/>
      <c r="AO6" s="404"/>
      <c r="AP6" s="404"/>
      <c r="AQ6" s="404"/>
    </row>
    <row r="7" spans="1:48" s="75" customFormat="1" ht="159.94999999999999" customHeight="1" thickBot="1" x14ac:dyDescent="0.25">
      <c r="A7" s="65" t="s">
        <v>74</v>
      </c>
      <c r="B7" s="66" t="s">
        <v>75</v>
      </c>
      <c r="C7" s="66" t="s">
        <v>76</v>
      </c>
      <c r="D7" s="66" t="s">
        <v>77</v>
      </c>
      <c r="E7" s="67" t="s">
        <v>78</v>
      </c>
      <c r="F7" s="66" t="s">
        <v>79</v>
      </c>
      <c r="G7" s="66" t="s">
        <v>80</v>
      </c>
      <c r="H7" s="67" t="s">
        <v>81</v>
      </c>
      <c r="I7" s="67" t="s">
        <v>82</v>
      </c>
      <c r="J7" s="67" t="s">
        <v>83</v>
      </c>
      <c r="K7" s="67" t="s">
        <v>84</v>
      </c>
      <c r="L7" s="67" t="s">
        <v>85</v>
      </c>
      <c r="M7" s="67" t="s">
        <v>86</v>
      </c>
      <c r="N7" s="67" t="s">
        <v>87</v>
      </c>
      <c r="O7" s="67" t="s">
        <v>88</v>
      </c>
      <c r="P7" s="67" t="s">
        <v>89</v>
      </c>
      <c r="Q7" s="67" t="s">
        <v>90</v>
      </c>
      <c r="R7" s="67" t="s">
        <v>91</v>
      </c>
      <c r="S7" s="67" t="s">
        <v>92</v>
      </c>
      <c r="T7" s="67" t="s">
        <v>93</v>
      </c>
      <c r="U7" s="67" t="s">
        <v>94</v>
      </c>
      <c r="V7" s="67" t="s">
        <v>95</v>
      </c>
      <c r="W7" s="67" t="s">
        <v>96</v>
      </c>
      <c r="X7" s="68" t="s">
        <v>97</v>
      </c>
      <c r="Y7" s="69"/>
      <c r="Z7" s="70" t="s">
        <v>98</v>
      </c>
      <c r="AA7" s="67" t="s">
        <v>99</v>
      </c>
      <c r="AB7" s="67" t="s">
        <v>100</v>
      </c>
      <c r="AC7" s="68" t="s">
        <v>101</v>
      </c>
      <c r="AD7" s="71" t="s">
        <v>102</v>
      </c>
      <c r="AE7" s="68" t="s">
        <v>103</v>
      </c>
      <c r="AF7" s="71" t="s">
        <v>102</v>
      </c>
      <c r="AG7" s="68" t="s">
        <v>103</v>
      </c>
      <c r="AH7" s="72" t="s">
        <v>105</v>
      </c>
      <c r="AI7" s="73" t="s">
        <v>106</v>
      </c>
      <c r="AJ7" s="67" t="s">
        <v>107</v>
      </c>
      <c r="AK7" s="67" t="s">
        <v>108</v>
      </c>
      <c r="AL7" s="67" t="s">
        <v>109</v>
      </c>
      <c r="AM7" s="67" t="s">
        <v>110</v>
      </c>
      <c r="AN7" s="67" t="s">
        <v>111</v>
      </c>
      <c r="AO7" s="74" t="s">
        <v>112</v>
      </c>
      <c r="AP7" s="74" t="s">
        <v>113</v>
      </c>
      <c r="AQ7" s="68" t="s">
        <v>114</v>
      </c>
    </row>
    <row r="8" spans="1:48" ht="15" customHeight="1" x14ac:dyDescent="0.2">
      <c r="A8" s="76"/>
      <c r="B8" s="77"/>
      <c r="C8" s="77"/>
      <c r="D8" s="77"/>
      <c r="E8" s="77"/>
      <c r="F8" s="77"/>
      <c r="G8" s="77"/>
      <c r="H8" s="77"/>
      <c r="I8" s="77"/>
      <c r="J8" s="77"/>
      <c r="K8" s="77"/>
      <c r="L8" s="77"/>
      <c r="M8" s="77"/>
      <c r="N8" s="77"/>
      <c r="O8" s="77"/>
      <c r="P8" s="77"/>
      <c r="Q8" s="77"/>
      <c r="R8" s="77"/>
      <c r="S8" s="77"/>
      <c r="T8" s="77"/>
      <c r="U8" s="77"/>
      <c r="V8" s="77"/>
      <c r="W8" s="77"/>
      <c r="X8" s="46">
        <f t="shared" ref="X8:X48" si="0">SUM(A8:W8)</f>
        <v>0</v>
      </c>
      <c r="Y8" s="34" t="s">
        <v>3</v>
      </c>
      <c r="Z8" s="31"/>
      <c r="AA8" s="32">
        <v>44</v>
      </c>
      <c r="AB8" s="32"/>
      <c r="AC8" s="33"/>
      <c r="AD8" s="78">
        <f t="shared" ref="AD8:AD14" si="1">-AE8/$D$2%</f>
        <v>-3.8847923986737274</v>
      </c>
      <c r="AE8" s="79">
        <f>AH8/AA8%</f>
        <v>3.5681818181818183</v>
      </c>
      <c r="AF8" s="36"/>
      <c r="AG8" s="35"/>
      <c r="AH8" s="80">
        <f t="shared" ref="AH8:AH14" si="2">SUM(AI8:AQ8)</f>
        <v>1.57</v>
      </c>
      <c r="AI8" s="29">
        <v>1.57</v>
      </c>
      <c r="AJ8" s="81"/>
      <c r="AK8" s="81"/>
      <c r="AL8" s="81"/>
      <c r="AM8" s="81"/>
      <c r="AN8" s="81"/>
      <c r="AO8" s="81"/>
      <c r="AP8" s="81"/>
      <c r="AQ8" s="79"/>
      <c r="AR8" s="346"/>
    </row>
    <row r="9" spans="1:48" ht="15" customHeight="1" x14ac:dyDescent="0.2">
      <c r="A9" s="76"/>
      <c r="B9" s="77"/>
      <c r="C9" s="77"/>
      <c r="D9" s="77"/>
      <c r="E9" s="77"/>
      <c r="F9" s="77"/>
      <c r="G9" s="77"/>
      <c r="H9" s="77"/>
      <c r="I9" s="77"/>
      <c r="J9" s="77"/>
      <c r="K9" s="77"/>
      <c r="L9" s="77"/>
      <c r="M9" s="77"/>
      <c r="N9" s="77"/>
      <c r="O9" s="77"/>
      <c r="P9" s="77"/>
      <c r="Q9" s="77"/>
      <c r="R9" s="77"/>
      <c r="S9" s="77"/>
      <c r="T9" s="77"/>
      <c r="U9" s="77"/>
      <c r="V9" s="77"/>
      <c r="W9" s="77"/>
      <c r="X9" s="46">
        <f t="shared" si="0"/>
        <v>0</v>
      </c>
      <c r="Y9" s="34" t="s">
        <v>4</v>
      </c>
      <c r="Z9" s="31"/>
      <c r="AA9" s="32"/>
      <c r="AB9" s="32">
        <v>90</v>
      </c>
      <c r="AC9" s="33"/>
      <c r="AD9" s="78">
        <f t="shared" si="1"/>
        <v>-1.2217988265892459</v>
      </c>
      <c r="AE9" s="79">
        <f>AH9/AB9%</f>
        <v>1.1222222222222222</v>
      </c>
      <c r="AF9" s="36"/>
      <c r="AG9" s="35"/>
      <c r="AH9" s="80">
        <f t="shared" si="2"/>
        <v>1.01</v>
      </c>
      <c r="AI9" s="30">
        <v>1.01</v>
      </c>
      <c r="AJ9" s="81"/>
      <c r="AK9" s="81"/>
      <c r="AL9" s="81"/>
      <c r="AM9" s="81"/>
      <c r="AN9" s="81"/>
      <c r="AO9" s="81"/>
      <c r="AP9" s="81"/>
      <c r="AQ9" s="79"/>
      <c r="AR9" s="346"/>
      <c r="AV9" s="83"/>
    </row>
    <row r="10" spans="1:48" ht="15" customHeight="1" x14ac:dyDescent="0.2">
      <c r="A10" s="76"/>
      <c r="B10" s="77"/>
      <c r="C10" s="77"/>
      <c r="D10" s="77"/>
      <c r="E10" s="77"/>
      <c r="F10" s="77"/>
      <c r="G10" s="77"/>
      <c r="H10" s="77"/>
      <c r="I10" s="77"/>
      <c r="J10" s="77"/>
      <c r="K10" s="77"/>
      <c r="L10" s="77"/>
      <c r="M10" s="77"/>
      <c r="N10" s="77"/>
      <c r="O10" s="77"/>
      <c r="P10" s="77"/>
      <c r="Q10" s="77"/>
      <c r="R10" s="77"/>
      <c r="S10" s="77"/>
      <c r="T10" s="77"/>
      <c r="U10" s="77"/>
      <c r="V10" s="77"/>
      <c r="W10" s="77"/>
      <c r="X10" s="46">
        <f t="shared" si="0"/>
        <v>0</v>
      </c>
      <c r="Y10" s="34" t="s">
        <v>5</v>
      </c>
      <c r="Z10" s="31"/>
      <c r="AA10" s="32"/>
      <c r="AB10" s="32">
        <v>100</v>
      </c>
      <c r="AC10" s="33"/>
      <c r="AD10" s="78">
        <f t="shared" si="1"/>
        <v>-4.6641262928688079</v>
      </c>
      <c r="AE10" s="79">
        <f>AH10/AB10%</f>
        <v>4.2839999999999998</v>
      </c>
      <c r="AF10" s="36"/>
      <c r="AG10" s="35"/>
      <c r="AH10" s="80">
        <f t="shared" si="2"/>
        <v>4.2839999999999998</v>
      </c>
      <c r="AI10" s="318">
        <f>'2018'!AI10*(1+G95)</f>
        <v>4.2839999999999998</v>
      </c>
      <c r="AJ10" s="81"/>
      <c r="AK10" s="81"/>
      <c r="AL10" s="81"/>
      <c r="AM10" s="81"/>
      <c r="AN10" s="81"/>
      <c r="AO10" s="81"/>
      <c r="AP10" s="81"/>
      <c r="AQ10" s="79"/>
      <c r="AR10" s="346"/>
      <c r="AV10" s="84"/>
    </row>
    <row r="11" spans="1:48" ht="15" customHeight="1" x14ac:dyDescent="0.2">
      <c r="A11" s="76"/>
      <c r="B11" s="77"/>
      <c r="C11" s="77"/>
      <c r="D11" s="77"/>
      <c r="E11" s="77"/>
      <c r="F11" s="77"/>
      <c r="G11" s="77"/>
      <c r="H11" s="77"/>
      <c r="I11" s="77"/>
      <c r="J11" s="77"/>
      <c r="K11" s="77"/>
      <c r="L11" s="77"/>
      <c r="M11" s="77"/>
      <c r="N11" s="77"/>
      <c r="O11" s="77"/>
      <c r="P11" s="77"/>
      <c r="Q11" s="77"/>
      <c r="R11" s="77"/>
      <c r="S11" s="77"/>
      <c r="T11" s="77"/>
      <c r="U11" s="77"/>
      <c r="V11" s="77"/>
      <c r="W11" s="77"/>
      <c r="X11" s="46">
        <f t="shared" si="0"/>
        <v>0</v>
      </c>
      <c r="Y11" s="34" t="s">
        <v>18</v>
      </c>
      <c r="Z11" s="31"/>
      <c r="AA11" s="32">
        <v>50</v>
      </c>
      <c r="AB11" s="32"/>
      <c r="AC11" s="33"/>
      <c r="AD11" s="78">
        <f t="shared" si="1"/>
        <v>-8.9929232444202505</v>
      </c>
      <c r="AE11" s="79">
        <f>AH11/AA11%</f>
        <v>8.26</v>
      </c>
      <c r="AF11" s="36"/>
      <c r="AG11" s="35"/>
      <c r="AH11" s="80">
        <f t="shared" si="2"/>
        <v>4.13</v>
      </c>
      <c r="AI11" s="30">
        <v>1.79</v>
      </c>
      <c r="AJ11" s="29">
        <v>0.52</v>
      </c>
      <c r="AK11" s="29">
        <v>0.49</v>
      </c>
      <c r="AL11" s="29">
        <v>0.82000000000000006</v>
      </c>
      <c r="AM11" s="29">
        <v>0</v>
      </c>
      <c r="AN11" s="29">
        <v>0</v>
      </c>
      <c r="AO11" s="29">
        <v>0</v>
      </c>
      <c r="AP11" s="29">
        <v>0.51</v>
      </c>
      <c r="AQ11" s="79"/>
      <c r="AR11" s="346"/>
      <c r="AV11" s="84"/>
    </row>
    <row r="12" spans="1:48" ht="15" customHeight="1" x14ac:dyDescent="0.2">
      <c r="A12" s="76"/>
      <c r="B12" s="77"/>
      <c r="C12" s="77"/>
      <c r="D12" s="77"/>
      <c r="E12" s="77"/>
      <c r="F12" s="77"/>
      <c r="G12" s="77"/>
      <c r="H12" s="77"/>
      <c r="I12" s="77"/>
      <c r="J12" s="77"/>
      <c r="K12" s="77"/>
      <c r="L12" s="77"/>
      <c r="M12" s="77"/>
      <c r="N12" s="77"/>
      <c r="O12" s="77"/>
      <c r="P12" s="77"/>
      <c r="Q12" s="77"/>
      <c r="R12" s="77"/>
      <c r="S12" s="77"/>
      <c r="T12" s="77"/>
      <c r="U12" s="77"/>
      <c r="V12" s="77"/>
      <c r="W12" s="77"/>
      <c r="X12" s="46">
        <f t="shared" si="0"/>
        <v>0</v>
      </c>
      <c r="Y12" s="34" t="s">
        <v>19</v>
      </c>
      <c r="Z12" s="31"/>
      <c r="AA12" s="32">
        <v>150</v>
      </c>
      <c r="AB12" s="32"/>
      <c r="AC12" s="33"/>
      <c r="AD12" s="78">
        <f t="shared" si="1"/>
        <v>-8.020322990382871</v>
      </c>
      <c r="AE12" s="79">
        <f>AH12/AA12%</f>
        <v>7.3666666666666671</v>
      </c>
      <c r="AF12" s="36"/>
      <c r="AG12" s="35"/>
      <c r="AH12" s="80">
        <f t="shared" si="2"/>
        <v>11.05</v>
      </c>
      <c r="AI12" s="30">
        <v>6.33</v>
      </c>
      <c r="AJ12" s="29">
        <v>0</v>
      </c>
      <c r="AK12" s="29">
        <v>1.6600000000000001</v>
      </c>
      <c r="AL12" s="29">
        <v>2.7600000000000002</v>
      </c>
      <c r="AM12" s="29">
        <v>0</v>
      </c>
      <c r="AN12" s="29">
        <v>0</v>
      </c>
      <c r="AO12" s="29">
        <v>0</v>
      </c>
      <c r="AP12" s="29">
        <v>0.3</v>
      </c>
      <c r="AQ12" s="85"/>
      <c r="AR12" s="346"/>
      <c r="AV12" s="84"/>
    </row>
    <row r="13" spans="1:48" ht="15" customHeight="1" x14ac:dyDescent="0.2">
      <c r="A13" s="76"/>
      <c r="B13" s="77"/>
      <c r="C13" s="77"/>
      <c r="D13" s="77"/>
      <c r="E13" s="77"/>
      <c r="F13" s="77"/>
      <c r="G13" s="77"/>
      <c r="H13" s="77"/>
      <c r="I13" s="77"/>
      <c r="J13" s="77"/>
      <c r="K13" s="77"/>
      <c r="L13" s="77"/>
      <c r="M13" s="77"/>
      <c r="N13" s="77"/>
      <c r="O13" s="77"/>
      <c r="P13" s="77"/>
      <c r="Q13" s="77"/>
      <c r="R13" s="77"/>
      <c r="S13" s="77"/>
      <c r="T13" s="77"/>
      <c r="U13" s="77"/>
      <c r="V13" s="77"/>
      <c r="W13" s="77"/>
      <c r="X13" s="46">
        <f t="shared" si="0"/>
        <v>0</v>
      </c>
      <c r="Y13" s="34" t="s">
        <v>71</v>
      </c>
      <c r="Z13" s="31"/>
      <c r="AA13" s="32">
        <v>85</v>
      </c>
      <c r="AB13" s="32"/>
      <c r="AC13" s="33"/>
      <c r="AD13" s="78">
        <f t="shared" si="1"/>
        <v>-40.464651445771558</v>
      </c>
      <c r="AE13" s="79">
        <f>AH13/AA13%</f>
        <v>37.166782352941176</v>
      </c>
      <c r="AF13" s="36"/>
      <c r="AG13" s="35"/>
      <c r="AH13" s="80">
        <f t="shared" si="2"/>
        <v>31.591764999999999</v>
      </c>
      <c r="AI13" s="30">
        <v>9.94</v>
      </c>
      <c r="AJ13" s="29">
        <v>2.4</v>
      </c>
      <c r="AK13" s="29">
        <v>1.58</v>
      </c>
      <c r="AL13" s="29">
        <v>2.62</v>
      </c>
      <c r="AM13" s="29">
        <v>0</v>
      </c>
      <c r="AN13" s="29">
        <v>0</v>
      </c>
      <c r="AO13" s="29">
        <v>0</v>
      </c>
      <c r="AP13" s="29">
        <v>4.72</v>
      </c>
      <c r="AQ13" s="229">
        <f>O122+O116</f>
        <v>10.331765000000001</v>
      </c>
      <c r="AR13" s="346"/>
      <c r="AS13" s="86"/>
      <c r="AV13" s="84"/>
    </row>
    <row r="14" spans="1:48" ht="15" customHeight="1" x14ac:dyDescent="0.2">
      <c r="A14" s="76"/>
      <c r="B14" s="77"/>
      <c r="C14" s="77"/>
      <c r="D14" s="77"/>
      <c r="E14" s="77"/>
      <c r="F14" s="77"/>
      <c r="G14" s="77"/>
      <c r="H14" s="77"/>
      <c r="I14" s="77"/>
      <c r="J14" s="77"/>
      <c r="K14" s="77"/>
      <c r="L14" s="77"/>
      <c r="M14" s="77"/>
      <c r="N14" s="81">
        <f>AH14-AE14</f>
        <v>9.9</v>
      </c>
      <c r="O14" s="77"/>
      <c r="P14" s="77"/>
      <c r="Q14" s="77"/>
      <c r="R14" s="77"/>
      <c r="S14" s="77"/>
      <c r="T14" s="77"/>
      <c r="U14" s="77"/>
      <c r="V14" s="77"/>
      <c r="W14" s="77"/>
      <c r="X14" s="46">
        <f t="shared" si="0"/>
        <v>9.9</v>
      </c>
      <c r="Y14" s="34" t="s">
        <v>54</v>
      </c>
      <c r="Z14" s="31"/>
      <c r="AA14" s="32"/>
      <c r="AB14" s="32">
        <v>300</v>
      </c>
      <c r="AC14" s="33"/>
      <c r="AD14" s="78">
        <f t="shared" si="1"/>
        <v>-5.3892215568862287</v>
      </c>
      <c r="AE14" s="229">
        <f>'2018'!AE14*(1+G95)+((G106+G113)/AB14%)</f>
        <v>4.9500000000000011</v>
      </c>
      <c r="AF14" s="36"/>
      <c r="AG14" s="35"/>
      <c r="AH14" s="80">
        <f t="shared" si="2"/>
        <v>14.850000000000001</v>
      </c>
      <c r="AI14" s="39">
        <f>AE14*AB14/100</f>
        <v>14.850000000000001</v>
      </c>
      <c r="AJ14" s="38"/>
      <c r="AK14" s="38"/>
      <c r="AL14" s="38"/>
      <c r="AM14" s="38"/>
      <c r="AN14" s="38"/>
      <c r="AO14" s="38"/>
      <c r="AP14" s="38"/>
      <c r="AQ14" s="46"/>
      <c r="AR14" s="346"/>
      <c r="AV14" s="84"/>
    </row>
    <row r="15" spans="1:48" ht="15" customHeight="1" x14ac:dyDescent="0.2">
      <c r="A15" s="78">
        <f>Z15%*AD15</f>
        <v>54.220481603592688</v>
      </c>
      <c r="B15" s="77"/>
      <c r="C15" s="77"/>
      <c r="D15" s="77"/>
      <c r="E15" s="77"/>
      <c r="F15" s="77"/>
      <c r="G15" s="81"/>
      <c r="H15" s="81"/>
      <c r="I15" s="81"/>
      <c r="J15" s="81"/>
      <c r="K15" s="81"/>
      <c r="L15" s="77"/>
      <c r="M15" s="77"/>
      <c r="N15" s="77"/>
      <c r="O15" s="77"/>
      <c r="P15" s="77"/>
      <c r="Q15" s="77"/>
      <c r="R15" s="77"/>
      <c r="S15" s="77"/>
      <c r="T15" s="77"/>
      <c r="U15" s="77"/>
      <c r="V15" s="77"/>
      <c r="W15" s="77"/>
      <c r="X15" s="46">
        <f t="shared" si="0"/>
        <v>54.220481603592688</v>
      </c>
      <c r="Y15" s="34" t="s">
        <v>34</v>
      </c>
      <c r="Z15" s="31">
        <v>100</v>
      </c>
      <c r="AA15" s="32"/>
      <c r="AB15" s="32"/>
      <c r="AC15" s="33"/>
      <c r="AD15" s="31">
        <f>-SUM(AD16:AD80,AD8:AD14)</f>
        <v>54.220481603592688</v>
      </c>
      <c r="AE15" s="35"/>
      <c r="AF15" s="36"/>
      <c r="AG15" s="35"/>
      <c r="AH15" s="43">
        <f t="shared" ref="AH15:AH52" si="3">SUM(AI15:AQ15)</f>
        <v>0</v>
      </c>
      <c r="AI15" s="36"/>
      <c r="AJ15" s="38"/>
      <c r="AK15" s="38"/>
      <c r="AL15" s="38"/>
      <c r="AM15" s="38"/>
      <c r="AN15" s="38"/>
      <c r="AO15" s="38"/>
      <c r="AP15" s="38"/>
      <c r="AQ15" s="46"/>
      <c r="AR15" s="346"/>
      <c r="AV15" s="84"/>
    </row>
    <row r="16" spans="1:48" ht="15" customHeight="1" x14ac:dyDescent="0.2">
      <c r="A16" s="87"/>
      <c r="B16" s="29">
        <v>0.89</v>
      </c>
      <c r="C16" s="88"/>
      <c r="D16" s="88"/>
      <c r="E16" s="88"/>
      <c r="F16" s="88"/>
      <c r="G16" s="89"/>
      <c r="H16" s="89"/>
      <c r="I16" s="89"/>
      <c r="J16" s="89"/>
      <c r="K16" s="89"/>
      <c r="L16" s="88"/>
      <c r="M16" s="88"/>
      <c r="N16" s="88"/>
      <c r="O16" s="88"/>
      <c r="P16" s="88"/>
      <c r="Q16" s="88"/>
      <c r="R16" s="88"/>
      <c r="S16" s="88"/>
      <c r="T16" s="88"/>
      <c r="U16" s="88"/>
      <c r="V16" s="88"/>
      <c r="W16" s="88"/>
      <c r="X16" s="90">
        <f t="shared" si="0"/>
        <v>0.89</v>
      </c>
      <c r="Y16" s="41" t="s">
        <v>72</v>
      </c>
      <c r="Z16" s="170"/>
      <c r="AA16" s="171"/>
      <c r="AB16" s="40">
        <v>38</v>
      </c>
      <c r="AC16" s="172"/>
      <c r="AD16" s="170"/>
      <c r="AE16" s="172"/>
      <c r="AF16" s="170"/>
      <c r="AG16" s="172"/>
      <c r="AH16" s="43">
        <f t="shared" si="3"/>
        <v>0.33819999999999995</v>
      </c>
      <c r="AI16" s="368">
        <f>X16*AB16/100*0.35</f>
        <v>0.11836999999999999</v>
      </c>
      <c r="AJ16" s="369">
        <f>X16*AB16/100*0.07</f>
        <v>2.3674000000000001E-2</v>
      </c>
      <c r="AK16" s="369">
        <f>X16*AB16/100*0.06</f>
        <v>2.0292000000000001E-2</v>
      </c>
      <c r="AL16" s="369">
        <f>X16*AB16/100*0.03</f>
        <v>1.0146000000000001E-2</v>
      </c>
      <c r="AM16" s="369">
        <f>X16*AB16/100*0.04</f>
        <v>1.3528E-2</v>
      </c>
      <c r="AN16" s="369">
        <f>X16*AB16/100*0.38</f>
        <v>0.12851599999999999</v>
      </c>
      <c r="AO16" s="369"/>
      <c r="AP16" s="369">
        <f>X16*AB16/100*0.07</f>
        <v>2.3674000000000001E-2</v>
      </c>
      <c r="AQ16" s="92"/>
      <c r="AR16" s="346"/>
      <c r="AV16" s="84"/>
    </row>
    <row r="17" spans="1:48" ht="15" customHeight="1" x14ac:dyDescent="0.2">
      <c r="A17" s="76"/>
      <c r="B17" s="77"/>
      <c r="C17" s="77"/>
      <c r="D17" s="77"/>
      <c r="E17" s="230">
        <f>E104*(1+G95)</f>
        <v>0</v>
      </c>
      <c r="F17" s="77"/>
      <c r="G17" s="81"/>
      <c r="H17" s="81"/>
      <c r="I17" s="81"/>
      <c r="J17" s="81"/>
      <c r="K17" s="81"/>
      <c r="L17" s="77"/>
      <c r="M17" s="77"/>
      <c r="N17" s="81"/>
      <c r="O17" s="81"/>
      <c r="P17" s="81"/>
      <c r="Q17" s="81"/>
      <c r="R17" s="81"/>
      <c r="S17" s="81"/>
      <c r="T17" s="81"/>
      <c r="U17" s="81"/>
      <c r="V17" s="81"/>
      <c r="W17" s="81"/>
      <c r="X17" s="46">
        <f t="shared" si="0"/>
        <v>0</v>
      </c>
      <c r="Y17" s="34" t="s">
        <v>55</v>
      </c>
      <c r="Z17" s="31"/>
      <c r="AA17" s="32"/>
      <c r="AB17" s="38">
        <v>80</v>
      </c>
      <c r="AC17" s="33"/>
      <c r="AD17" s="31"/>
      <c r="AE17" s="33"/>
      <c r="AF17" s="31"/>
      <c r="AG17" s="33"/>
      <c r="AH17" s="43">
        <f t="shared" si="3"/>
        <v>0</v>
      </c>
      <c r="AI17" s="42">
        <f t="shared" ref="AI17:AI22" si="4">X17*AB17/100</f>
        <v>0</v>
      </c>
      <c r="AJ17" s="32"/>
      <c r="AK17" s="32"/>
      <c r="AL17" s="32"/>
      <c r="AM17" s="32"/>
      <c r="AN17" s="32"/>
      <c r="AO17" s="32"/>
      <c r="AP17" s="32"/>
      <c r="AQ17" s="46"/>
      <c r="AR17" s="346"/>
      <c r="AS17" s="84"/>
    </row>
    <row r="18" spans="1:48" ht="15" customHeight="1" x14ac:dyDescent="0.2">
      <c r="A18" s="76"/>
      <c r="B18" s="77"/>
      <c r="C18" s="77"/>
      <c r="D18" s="77"/>
      <c r="E18" s="77"/>
      <c r="F18" s="77"/>
      <c r="G18" s="81"/>
      <c r="H18" s="81"/>
      <c r="I18" s="230">
        <f>E111*0.96</f>
        <v>0</v>
      </c>
      <c r="J18" s="81"/>
      <c r="K18" s="81"/>
      <c r="L18" s="77"/>
      <c r="M18" s="77"/>
      <c r="N18" s="81"/>
      <c r="O18" s="81"/>
      <c r="P18" s="81"/>
      <c r="Q18" s="81"/>
      <c r="R18" s="81"/>
      <c r="S18" s="81"/>
      <c r="T18" s="81"/>
      <c r="U18" s="81"/>
      <c r="V18" s="81"/>
      <c r="W18" s="81"/>
      <c r="X18" s="46">
        <f t="shared" si="0"/>
        <v>0</v>
      </c>
      <c r="Y18" s="34" t="s">
        <v>56</v>
      </c>
      <c r="Z18" s="31"/>
      <c r="AA18" s="32"/>
      <c r="AB18" s="38">
        <v>85</v>
      </c>
      <c r="AC18" s="33"/>
      <c r="AD18" s="31"/>
      <c r="AE18" s="33"/>
      <c r="AF18" s="31"/>
      <c r="AG18" s="33"/>
      <c r="AH18" s="43">
        <f t="shared" si="3"/>
        <v>0</v>
      </c>
      <c r="AI18" s="42">
        <f t="shared" si="4"/>
        <v>0</v>
      </c>
      <c r="AJ18" s="32"/>
      <c r="AK18" s="32"/>
      <c r="AL18" s="32"/>
      <c r="AM18" s="32"/>
      <c r="AN18" s="32"/>
      <c r="AO18" s="32"/>
      <c r="AP18" s="32"/>
      <c r="AQ18" s="46"/>
      <c r="AR18" s="346"/>
      <c r="AS18" s="84"/>
    </row>
    <row r="19" spans="1:48" ht="15" customHeight="1" x14ac:dyDescent="0.2">
      <c r="A19" s="76"/>
      <c r="B19" s="77"/>
      <c r="C19" s="77"/>
      <c r="D19" s="77"/>
      <c r="E19" s="77"/>
      <c r="F19" s="77"/>
      <c r="G19" s="81"/>
      <c r="H19" s="81"/>
      <c r="I19" s="81"/>
      <c r="J19" s="81"/>
      <c r="K19" s="81"/>
      <c r="L19" s="77"/>
      <c r="M19" s="77"/>
      <c r="N19" s="81"/>
      <c r="O19" s="81"/>
      <c r="P19" s="81"/>
      <c r="Q19" s="81"/>
      <c r="R19" s="81"/>
      <c r="S19" s="230">
        <f>'2018'!S19*(1+G95)+(G107+G114)/AB19%</f>
        <v>11.07</v>
      </c>
      <c r="T19" s="81"/>
      <c r="U19" s="81"/>
      <c r="V19" s="81"/>
      <c r="W19" s="81"/>
      <c r="X19" s="46">
        <f t="shared" si="0"/>
        <v>11.07</v>
      </c>
      <c r="Y19" s="34" t="s">
        <v>57</v>
      </c>
      <c r="Z19" s="31"/>
      <c r="AA19" s="32"/>
      <c r="AB19" s="38">
        <v>75</v>
      </c>
      <c r="AC19" s="33"/>
      <c r="AD19" s="31"/>
      <c r="AE19" s="33"/>
      <c r="AF19" s="31"/>
      <c r="AG19" s="33"/>
      <c r="AH19" s="43">
        <f t="shared" si="3"/>
        <v>8.3025000000000002</v>
      </c>
      <c r="AI19" s="42">
        <f t="shared" si="4"/>
        <v>8.3025000000000002</v>
      </c>
      <c r="AJ19" s="32"/>
      <c r="AK19" s="32"/>
      <c r="AL19" s="32"/>
      <c r="AM19" s="32"/>
      <c r="AN19" s="32"/>
      <c r="AO19" s="32"/>
      <c r="AP19" s="32"/>
      <c r="AQ19" s="46"/>
      <c r="AR19" s="346"/>
      <c r="AV19" s="84"/>
    </row>
    <row r="20" spans="1:48" ht="15" customHeight="1" x14ac:dyDescent="0.2">
      <c r="A20" s="76"/>
      <c r="B20" s="77"/>
      <c r="C20" s="77"/>
      <c r="D20" s="77"/>
      <c r="E20" s="77"/>
      <c r="F20" s="77"/>
      <c r="G20" s="81"/>
      <c r="H20" s="81"/>
      <c r="I20" s="81"/>
      <c r="J20" s="81"/>
      <c r="K20" s="81"/>
      <c r="L20" s="77"/>
      <c r="M20" s="77"/>
      <c r="N20" s="81"/>
      <c r="O20" s="81"/>
      <c r="P20" s="81"/>
      <c r="Q20" s="81"/>
      <c r="R20" s="230">
        <f>'2018'!R20*(1+G95)</f>
        <v>26.541</v>
      </c>
      <c r="S20" s="81"/>
      <c r="T20" s="81"/>
      <c r="U20" s="81"/>
      <c r="V20" s="81"/>
      <c r="W20" s="81"/>
      <c r="X20" s="46">
        <f t="shared" si="0"/>
        <v>26.541</v>
      </c>
      <c r="Y20" s="34" t="s">
        <v>58</v>
      </c>
      <c r="Z20" s="31"/>
      <c r="AA20" s="32"/>
      <c r="AB20" s="38">
        <v>65</v>
      </c>
      <c r="AC20" s="33"/>
      <c r="AD20" s="31"/>
      <c r="AE20" s="33"/>
      <c r="AF20" s="31"/>
      <c r="AG20" s="33"/>
      <c r="AH20" s="43">
        <f t="shared" si="3"/>
        <v>17.251649999999998</v>
      </c>
      <c r="AI20" s="42">
        <f t="shared" si="4"/>
        <v>17.251649999999998</v>
      </c>
      <c r="AJ20" s="32"/>
      <c r="AK20" s="32"/>
      <c r="AL20" s="32"/>
      <c r="AM20" s="32"/>
      <c r="AN20" s="32"/>
      <c r="AO20" s="32"/>
      <c r="AP20" s="32"/>
      <c r="AQ20" s="46"/>
      <c r="AR20" s="346"/>
      <c r="AS20" s="84"/>
    </row>
    <row r="21" spans="1:48" ht="15" customHeight="1" x14ac:dyDescent="0.2">
      <c r="A21" s="76"/>
      <c r="B21" s="77"/>
      <c r="C21" s="77"/>
      <c r="D21" s="77"/>
      <c r="E21" s="77"/>
      <c r="F21" s="77"/>
      <c r="G21" s="81"/>
      <c r="H21" s="81"/>
      <c r="I21" s="81"/>
      <c r="J21" s="81"/>
      <c r="K21" s="81"/>
      <c r="L21" s="77"/>
      <c r="M21" s="77"/>
      <c r="N21" s="81"/>
      <c r="O21" s="81"/>
      <c r="P21" s="81"/>
      <c r="Q21" s="230">
        <f>'2018'!Q21*(1+G95)</f>
        <v>1.0980000000000001</v>
      </c>
      <c r="R21" s="81"/>
      <c r="S21" s="81"/>
      <c r="T21" s="81"/>
      <c r="U21" s="81"/>
      <c r="V21" s="81"/>
      <c r="W21" s="81"/>
      <c r="X21" s="46">
        <f t="shared" si="0"/>
        <v>1.0980000000000001</v>
      </c>
      <c r="Y21" s="34" t="s">
        <v>59</v>
      </c>
      <c r="Z21" s="31"/>
      <c r="AA21" s="32"/>
      <c r="AB21" s="38">
        <v>65</v>
      </c>
      <c r="AC21" s="33"/>
      <c r="AD21" s="31"/>
      <c r="AE21" s="33"/>
      <c r="AF21" s="31"/>
      <c r="AG21" s="33"/>
      <c r="AH21" s="43">
        <f t="shared" si="3"/>
        <v>0.7137</v>
      </c>
      <c r="AI21" s="42">
        <f t="shared" si="4"/>
        <v>0.7137</v>
      </c>
      <c r="AJ21" s="32"/>
      <c r="AK21" s="32"/>
      <c r="AL21" s="32"/>
      <c r="AM21" s="32"/>
      <c r="AN21" s="32"/>
      <c r="AO21" s="32"/>
      <c r="AP21" s="32"/>
      <c r="AQ21" s="46"/>
      <c r="AR21" s="346"/>
      <c r="AS21" s="84"/>
    </row>
    <row r="22" spans="1:48" ht="15" customHeight="1" x14ac:dyDescent="0.2">
      <c r="A22" s="31"/>
      <c r="B22" s="32"/>
      <c r="C22" s="32"/>
      <c r="D22" s="32"/>
      <c r="E22" s="32"/>
      <c r="F22" s="32"/>
      <c r="G22" s="32"/>
      <c r="H22" s="32"/>
      <c r="I22" s="37"/>
      <c r="J22" s="32"/>
      <c r="K22" s="32"/>
      <c r="L22" s="398">
        <f>0.91*(1+G95)</f>
        <v>0.81900000000000006</v>
      </c>
      <c r="M22" s="32"/>
      <c r="N22" s="38"/>
      <c r="O22" s="38"/>
      <c r="P22" s="38"/>
      <c r="Q22" s="38"/>
      <c r="R22" s="38"/>
      <c r="S22" s="38"/>
      <c r="T22" s="38"/>
      <c r="U22" s="38"/>
      <c r="V22" s="38"/>
      <c r="W22" s="38"/>
      <c r="X22" s="46">
        <f t="shared" si="0"/>
        <v>0.81900000000000006</v>
      </c>
      <c r="Y22" s="34" t="s">
        <v>6</v>
      </c>
      <c r="Z22" s="31"/>
      <c r="AA22" s="32"/>
      <c r="AB22" s="32">
        <v>100</v>
      </c>
      <c r="AC22" s="33"/>
      <c r="AD22" s="31"/>
      <c r="AE22" s="33"/>
      <c r="AF22" s="31"/>
      <c r="AG22" s="33"/>
      <c r="AH22" s="43">
        <f t="shared" si="3"/>
        <v>0.81900000000000006</v>
      </c>
      <c r="AI22" s="42">
        <f t="shared" si="4"/>
        <v>0.81900000000000006</v>
      </c>
      <c r="AJ22" s="32"/>
      <c r="AK22" s="32"/>
      <c r="AL22" s="32"/>
      <c r="AM22" s="32"/>
      <c r="AN22" s="32"/>
      <c r="AO22" s="32"/>
      <c r="AP22" s="32"/>
      <c r="AQ22" s="46"/>
      <c r="AR22" s="346"/>
      <c r="AS22" s="86"/>
      <c r="AV22" s="84"/>
    </row>
    <row r="23" spans="1:48" ht="15" customHeight="1" x14ac:dyDescent="0.2">
      <c r="A23" s="31"/>
      <c r="B23" s="32"/>
      <c r="C23" s="38"/>
      <c r="D23" s="38"/>
      <c r="E23" s="29"/>
      <c r="F23" s="38"/>
      <c r="G23" s="38"/>
      <c r="H23" s="38"/>
      <c r="I23" s="37"/>
      <c r="J23" s="38"/>
      <c r="K23" s="38"/>
      <c r="L23" s="38"/>
      <c r="M23" s="38"/>
      <c r="N23" s="38"/>
      <c r="O23" s="38"/>
      <c r="P23" s="38"/>
      <c r="Q23" s="38"/>
      <c r="R23" s="38"/>
      <c r="S23" s="38"/>
      <c r="T23" s="38"/>
      <c r="U23" s="38"/>
      <c r="V23" s="38"/>
      <c r="W23" s="38"/>
      <c r="X23" s="46">
        <f t="shared" si="0"/>
        <v>0</v>
      </c>
      <c r="Y23" s="34" t="s">
        <v>60</v>
      </c>
      <c r="Z23" s="31"/>
      <c r="AA23" s="32">
        <v>90</v>
      </c>
      <c r="AB23" s="32"/>
      <c r="AC23" s="33"/>
      <c r="AD23" s="31"/>
      <c r="AE23" s="33"/>
      <c r="AF23" s="31"/>
      <c r="AG23" s="33"/>
      <c r="AH23" s="43">
        <f t="shared" si="3"/>
        <v>0</v>
      </c>
      <c r="AI23" s="42"/>
      <c r="AJ23" s="32"/>
      <c r="AK23" s="32"/>
      <c r="AL23" s="32"/>
      <c r="AM23" s="32"/>
      <c r="AN23" s="32">
        <f>X23*AA23/100</f>
        <v>0</v>
      </c>
      <c r="AO23" s="32"/>
      <c r="AP23" s="32"/>
      <c r="AQ23" s="46"/>
      <c r="AR23" s="346"/>
      <c r="AV23" s="84"/>
    </row>
    <row r="24" spans="1:48" ht="15" customHeight="1" x14ac:dyDescent="0.2">
      <c r="A24" s="31"/>
      <c r="B24" s="32"/>
      <c r="C24" s="38"/>
      <c r="D24" s="38"/>
      <c r="E24" s="38"/>
      <c r="F24" s="38"/>
      <c r="G24" s="38"/>
      <c r="H24" s="38"/>
      <c r="I24" s="29"/>
      <c r="J24" s="38"/>
      <c r="K24" s="38"/>
      <c r="L24" s="38"/>
      <c r="M24" s="38"/>
      <c r="N24" s="38"/>
      <c r="O24" s="38"/>
      <c r="P24" s="38"/>
      <c r="Q24" s="38"/>
      <c r="R24" s="38"/>
      <c r="S24" s="38"/>
      <c r="T24" s="38"/>
      <c r="U24" s="38"/>
      <c r="V24" s="38"/>
      <c r="W24" s="38"/>
      <c r="X24" s="46">
        <f t="shared" si="0"/>
        <v>0</v>
      </c>
      <c r="Y24" s="34" t="s">
        <v>61</v>
      </c>
      <c r="Z24" s="31"/>
      <c r="AA24" s="32">
        <v>90</v>
      </c>
      <c r="AB24" s="32"/>
      <c r="AC24" s="33"/>
      <c r="AD24" s="31"/>
      <c r="AE24" s="33"/>
      <c r="AF24" s="31"/>
      <c r="AG24" s="33"/>
      <c r="AH24" s="43">
        <f t="shared" si="3"/>
        <v>0</v>
      </c>
      <c r="AI24" s="42"/>
      <c r="AJ24" s="32"/>
      <c r="AK24" s="32"/>
      <c r="AL24" s="32"/>
      <c r="AM24" s="32"/>
      <c r="AN24" s="32">
        <f>X24*AA24/100</f>
        <v>0</v>
      </c>
      <c r="AO24" s="32"/>
      <c r="AP24" s="32"/>
      <c r="AQ24" s="46"/>
      <c r="AR24" s="346"/>
      <c r="AS24" s="84"/>
    </row>
    <row r="25" spans="1:48" ht="15" customHeight="1" x14ac:dyDescent="0.2">
      <c r="A25" s="31"/>
      <c r="B25" s="32"/>
      <c r="C25" s="29"/>
      <c r="D25" s="29"/>
      <c r="E25" s="37"/>
      <c r="F25" s="37"/>
      <c r="G25" s="37"/>
      <c r="H25" s="37"/>
      <c r="I25" s="37"/>
      <c r="J25" s="37"/>
      <c r="K25" s="37"/>
      <c r="L25" s="37"/>
      <c r="M25" s="37"/>
      <c r="N25" s="37"/>
      <c r="O25" s="371"/>
      <c r="P25" s="37"/>
      <c r="Q25" s="37"/>
      <c r="R25" s="37"/>
      <c r="S25" s="29">
        <v>10</v>
      </c>
      <c r="T25" s="371"/>
      <c r="U25" s="37"/>
      <c r="V25" s="37"/>
      <c r="W25" s="29"/>
      <c r="X25" s="46">
        <f t="shared" si="0"/>
        <v>10</v>
      </c>
      <c r="Y25" s="34" t="s">
        <v>240</v>
      </c>
      <c r="Z25" s="31"/>
      <c r="AA25" s="32">
        <v>90</v>
      </c>
      <c r="AB25" s="32"/>
      <c r="AC25" s="33"/>
      <c r="AD25" s="31"/>
      <c r="AE25" s="33"/>
      <c r="AF25" s="31"/>
      <c r="AG25" s="33"/>
      <c r="AH25" s="43">
        <f t="shared" si="3"/>
        <v>9</v>
      </c>
      <c r="AI25" s="39"/>
      <c r="AJ25" s="38"/>
      <c r="AK25" s="38"/>
      <c r="AL25" s="38"/>
      <c r="AM25" s="38"/>
      <c r="AN25" s="38">
        <f>X25*AA25/100</f>
        <v>9</v>
      </c>
      <c r="AO25" s="38"/>
      <c r="AP25" s="38"/>
      <c r="AQ25" s="46"/>
      <c r="AR25" s="346"/>
      <c r="AS25" s="84"/>
    </row>
    <row r="26" spans="1:48" ht="15" customHeight="1" x14ac:dyDescent="0.2">
      <c r="A26" s="31"/>
      <c r="B26" s="32"/>
      <c r="C26" s="32"/>
      <c r="D26" s="32"/>
      <c r="E26" s="32"/>
      <c r="F26" s="32"/>
      <c r="G26" s="32"/>
      <c r="H26" s="38"/>
      <c r="I26" s="38"/>
      <c r="J26" s="38"/>
      <c r="K26" s="38"/>
      <c r="L26" s="29">
        <v>18.14</v>
      </c>
      <c r="M26" s="38"/>
      <c r="N26" s="38"/>
      <c r="O26" s="38"/>
      <c r="P26" s="38"/>
      <c r="Q26" s="38"/>
      <c r="R26" s="38"/>
      <c r="S26" s="38"/>
      <c r="T26" s="38"/>
      <c r="U26" s="38"/>
      <c r="V26" s="38"/>
      <c r="W26" s="38"/>
      <c r="X26" s="46">
        <f t="shared" si="0"/>
        <v>18.14</v>
      </c>
      <c r="Y26" s="34" t="s">
        <v>45</v>
      </c>
      <c r="Z26" s="32">
        <v>100</v>
      </c>
      <c r="AA26" s="32"/>
      <c r="AB26" s="32"/>
      <c r="AC26" s="33"/>
      <c r="AD26" s="31">
        <f>X26*Z26/100</f>
        <v>18.14</v>
      </c>
      <c r="AE26" s="33"/>
      <c r="AF26" s="31"/>
      <c r="AG26" s="33"/>
      <c r="AH26" s="43">
        <f t="shared" si="3"/>
        <v>0</v>
      </c>
      <c r="AI26" s="39"/>
      <c r="AJ26" s="38"/>
      <c r="AK26" s="38"/>
      <c r="AL26" s="38"/>
      <c r="AM26" s="38"/>
      <c r="AN26" s="38"/>
      <c r="AO26" s="38"/>
      <c r="AP26" s="38"/>
      <c r="AQ26" s="46"/>
      <c r="AR26" s="346"/>
      <c r="AV26" s="84"/>
    </row>
    <row r="27" spans="1:48" ht="15" customHeight="1" x14ac:dyDescent="0.2">
      <c r="A27" s="76"/>
      <c r="B27" s="77"/>
      <c r="C27" s="81"/>
      <c r="D27" s="81"/>
      <c r="E27" s="81"/>
      <c r="F27" s="81"/>
      <c r="G27" s="81"/>
      <c r="H27" s="81"/>
      <c r="I27" s="81"/>
      <c r="J27" s="231">
        <f>'2018'!J27-0.569644848</f>
        <v>-6.9644848000000037E-2</v>
      </c>
      <c r="K27" s="81"/>
      <c r="L27" s="81"/>
      <c r="M27" s="81"/>
      <c r="N27" s="81"/>
      <c r="O27" s="81"/>
      <c r="P27" s="81"/>
      <c r="Q27" s="81"/>
      <c r="R27" s="81"/>
      <c r="S27" s="81"/>
      <c r="T27" s="81"/>
      <c r="U27" s="81"/>
      <c r="V27" s="81"/>
      <c r="W27" s="81"/>
      <c r="X27" s="46">
        <f t="shared" si="0"/>
        <v>-6.9644848000000037E-2</v>
      </c>
      <c r="Y27" s="34" t="s">
        <v>62</v>
      </c>
      <c r="Z27" s="32">
        <v>100</v>
      </c>
      <c r="AA27" s="32"/>
      <c r="AB27" s="32"/>
      <c r="AC27" s="33"/>
      <c r="AD27" s="31">
        <f>Z27*X27/100</f>
        <v>-6.9644848000000037E-2</v>
      </c>
      <c r="AE27" s="33"/>
      <c r="AF27" s="31"/>
      <c r="AG27" s="33"/>
      <c r="AH27" s="43">
        <f t="shared" si="3"/>
        <v>0</v>
      </c>
      <c r="AI27" s="39"/>
      <c r="AJ27" s="38"/>
      <c r="AK27" s="38"/>
      <c r="AL27" s="38"/>
      <c r="AM27" s="38"/>
      <c r="AN27" s="38"/>
      <c r="AO27" s="38"/>
      <c r="AP27" s="38"/>
      <c r="AQ27" s="46"/>
      <c r="AR27" s="346"/>
      <c r="AV27" s="84"/>
    </row>
    <row r="28" spans="1:48" ht="15" customHeight="1" x14ac:dyDescent="0.2">
      <c r="A28" s="76"/>
      <c r="B28" s="77"/>
      <c r="C28" s="81"/>
      <c r="D28" s="81"/>
      <c r="E28" s="81"/>
      <c r="F28" s="81"/>
      <c r="G28" s="81"/>
      <c r="H28" s="81"/>
      <c r="I28" s="81"/>
      <c r="J28" s="38">
        <f>'2018'!J28*50%</f>
        <v>0</v>
      </c>
      <c r="K28" s="81"/>
      <c r="L28" s="81"/>
      <c r="M28" s="81"/>
      <c r="N28" s="81"/>
      <c r="O28" s="81"/>
      <c r="P28" s="81"/>
      <c r="Q28" s="81"/>
      <c r="R28" s="81"/>
      <c r="S28" s="81"/>
      <c r="T28" s="81"/>
      <c r="U28" s="81"/>
      <c r="V28" s="81"/>
      <c r="W28" s="81"/>
      <c r="X28" s="46">
        <f t="shared" si="0"/>
        <v>0</v>
      </c>
      <c r="Y28" s="34" t="s">
        <v>124</v>
      </c>
      <c r="Z28" s="36">
        <v>100</v>
      </c>
      <c r="AA28" s="38"/>
      <c r="AB28" s="38"/>
      <c r="AC28" s="35"/>
      <c r="AD28" s="36">
        <f>Z28*X28/100</f>
        <v>0</v>
      </c>
      <c r="AE28" s="35"/>
      <c r="AF28" s="31"/>
      <c r="AG28" s="33"/>
      <c r="AH28" s="43">
        <f t="shared" si="3"/>
        <v>0</v>
      </c>
      <c r="AI28" s="39"/>
      <c r="AJ28" s="38"/>
      <c r="AK28" s="38"/>
      <c r="AL28" s="38"/>
      <c r="AM28" s="38"/>
      <c r="AN28" s="38"/>
      <c r="AO28" s="38"/>
      <c r="AP28" s="38"/>
      <c r="AQ28" s="46"/>
      <c r="AR28" s="346"/>
    </row>
    <row r="29" spans="1:48" ht="15" customHeight="1" x14ac:dyDescent="0.2">
      <c r="A29" s="76"/>
      <c r="B29" s="77"/>
      <c r="C29" s="81"/>
      <c r="D29" s="81"/>
      <c r="E29" s="81"/>
      <c r="F29" s="81"/>
      <c r="G29" s="81"/>
      <c r="H29" s="81"/>
      <c r="I29" s="81"/>
      <c r="J29" s="81"/>
      <c r="K29" s="81">
        <v>0.34699999999999998</v>
      </c>
      <c r="L29" s="81"/>
      <c r="M29" s="81"/>
      <c r="N29" s="81"/>
      <c r="O29" s="81"/>
      <c r="P29" s="81"/>
      <c r="Q29" s="81"/>
      <c r="R29" s="81"/>
      <c r="S29" s="81"/>
      <c r="T29" s="81"/>
      <c r="U29" s="81"/>
      <c r="V29" s="81"/>
      <c r="W29" s="81"/>
      <c r="X29" s="46">
        <f t="shared" si="0"/>
        <v>0.34699999999999998</v>
      </c>
      <c r="Y29" s="94" t="s">
        <v>7</v>
      </c>
      <c r="Z29" s="29">
        <v>100</v>
      </c>
      <c r="AA29" s="38"/>
      <c r="AB29" s="38"/>
      <c r="AC29" s="35"/>
      <c r="AD29" s="36">
        <f>Z29*X29/100</f>
        <v>0.34699999999999998</v>
      </c>
      <c r="AE29" s="35"/>
      <c r="AF29" s="31"/>
      <c r="AG29" s="33"/>
      <c r="AH29" s="43">
        <f t="shared" si="3"/>
        <v>0</v>
      </c>
      <c r="AI29" s="39"/>
      <c r="AJ29" s="38"/>
      <c r="AK29" s="38"/>
      <c r="AL29" s="38"/>
      <c r="AM29" s="38"/>
      <c r="AN29" s="38"/>
      <c r="AO29" s="38"/>
      <c r="AP29" s="38"/>
      <c r="AQ29" s="46"/>
      <c r="AR29" s="346"/>
    </row>
    <row r="30" spans="1:48" ht="15" customHeight="1" x14ac:dyDescent="0.2">
      <c r="A30" s="31"/>
      <c r="B30" s="32"/>
      <c r="C30" s="32"/>
      <c r="D30" s="32"/>
      <c r="E30" s="32"/>
      <c r="F30" s="32"/>
      <c r="G30" s="32"/>
      <c r="H30" s="38"/>
      <c r="I30" s="38"/>
      <c r="J30" s="38"/>
      <c r="K30" s="38"/>
      <c r="L30" s="38"/>
      <c r="M30" s="38"/>
      <c r="N30" s="38"/>
      <c r="O30" s="38"/>
      <c r="P30" s="38"/>
      <c r="Q30" s="38"/>
      <c r="R30" s="38"/>
      <c r="S30" s="38"/>
      <c r="T30" s="38"/>
      <c r="U30" s="38"/>
      <c r="V30" s="38"/>
      <c r="W30" s="38"/>
      <c r="X30" s="46">
        <f t="shared" si="0"/>
        <v>0</v>
      </c>
      <c r="Y30" s="94" t="s">
        <v>8</v>
      </c>
      <c r="Z30" s="38">
        <v>100</v>
      </c>
      <c r="AA30" s="38"/>
      <c r="AB30" s="38"/>
      <c r="AC30" s="35"/>
      <c r="AD30" s="36">
        <f>Z30*X30/100</f>
        <v>0</v>
      </c>
      <c r="AE30" s="35"/>
      <c r="AF30" s="31"/>
      <c r="AG30" s="33"/>
      <c r="AH30" s="43">
        <f t="shared" si="3"/>
        <v>0</v>
      </c>
      <c r="AI30" s="39"/>
      <c r="AJ30" s="38"/>
      <c r="AK30" s="38"/>
      <c r="AL30" s="38"/>
      <c r="AM30" s="38"/>
      <c r="AN30" s="38"/>
      <c r="AO30" s="38"/>
      <c r="AP30" s="38"/>
      <c r="AQ30" s="46"/>
      <c r="AR30" s="346"/>
    </row>
    <row r="31" spans="1:48" ht="15" customHeight="1" x14ac:dyDescent="0.2">
      <c r="A31" s="372"/>
      <c r="B31" s="32"/>
      <c r="C31" s="32"/>
      <c r="D31" s="32"/>
      <c r="E31" s="32"/>
      <c r="F31" s="32"/>
      <c r="G31" s="32"/>
      <c r="H31" s="38"/>
      <c r="I31" s="29">
        <f>-(O31+T31)*AA31%</f>
        <v>0</v>
      </c>
      <c r="J31" s="38"/>
      <c r="K31" s="38"/>
      <c r="L31" s="38"/>
      <c r="M31" s="38"/>
      <c r="N31" s="38"/>
      <c r="O31" s="38"/>
      <c r="P31" s="38"/>
      <c r="Q31" s="38"/>
      <c r="R31" s="38"/>
      <c r="S31" s="38"/>
      <c r="T31" s="38"/>
      <c r="U31" s="37"/>
      <c r="V31" s="37"/>
      <c r="W31" s="37"/>
      <c r="X31" s="46">
        <f t="shared" si="0"/>
        <v>0</v>
      </c>
      <c r="Y31" s="94" t="s">
        <v>216</v>
      </c>
      <c r="Z31" s="373"/>
      <c r="AA31" s="37">
        <v>100</v>
      </c>
      <c r="AB31" s="37"/>
      <c r="AC31" s="364"/>
      <c r="AD31" s="354"/>
      <c r="AE31" s="364"/>
      <c r="AF31" s="374"/>
      <c r="AG31" s="375"/>
      <c r="AH31" s="43"/>
      <c r="AI31" s="373"/>
      <c r="AJ31" s="37"/>
      <c r="AK31" s="37"/>
      <c r="AL31" s="37"/>
      <c r="AM31" s="37"/>
      <c r="AN31" s="37"/>
      <c r="AO31" s="37"/>
      <c r="AP31" s="37"/>
      <c r="AQ31" s="46"/>
      <c r="AR31" s="346"/>
    </row>
    <row r="32" spans="1:48" ht="15" customHeight="1" x14ac:dyDescent="0.2">
      <c r="A32" s="32"/>
      <c r="B32" s="32"/>
      <c r="C32" s="253"/>
      <c r="D32" s="253"/>
      <c r="E32" s="253"/>
      <c r="F32" s="253"/>
      <c r="G32" s="253"/>
      <c r="H32" s="37"/>
      <c r="I32" s="29"/>
      <c r="J32" s="37"/>
      <c r="K32" s="37"/>
      <c r="L32" s="37"/>
      <c r="M32" s="37"/>
      <c r="N32" s="37"/>
      <c r="O32" s="29"/>
      <c r="P32" s="37"/>
      <c r="Q32" s="37"/>
      <c r="R32" s="37"/>
      <c r="S32" s="37"/>
      <c r="T32" s="29"/>
      <c r="U32" s="37"/>
      <c r="V32" s="37"/>
      <c r="W32" s="37"/>
      <c r="X32" s="46">
        <f t="shared" si="0"/>
        <v>0</v>
      </c>
      <c r="Y32" s="94" t="s">
        <v>215</v>
      </c>
      <c r="Z32" s="366"/>
      <c r="AA32" s="37"/>
      <c r="AB32" s="37"/>
      <c r="AC32" s="364"/>
      <c r="AD32" s="36">
        <f>X32*Z32/100</f>
        <v>0</v>
      </c>
      <c r="AE32" s="35"/>
      <c r="AF32" s="36">
        <f>X32*AB32/100</f>
        <v>0</v>
      </c>
      <c r="AG32" s="35"/>
      <c r="AH32" s="43">
        <f>SUM(AI32:AQ32)</f>
        <v>0</v>
      </c>
      <c r="AI32" s="93"/>
      <c r="AJ32" s="77"/>
      <c r="AK32" s="77"/>
      <c r="AL32" s="77"/>
      <c r="AM32" s="77"/>
      <c r="AN32" s="77"/>
      <c r="AO32" s="77"/>
      <c r="AP32" s="77"/>
      <c r="AQ32" s="46"/>
      <c r="AR32" s="346"/>
    </row>
    <row r="33" spans="1:45" ht="15" customHeight="1" x14ac:dyDescent="0.2">
      <c r="A33" s="32"/>
      <c r="B33" s="32"/>
      <c r="C33" s="29"/>
      <c r="D33" s="29"/>
      <c r="E33" s="37"/>
      <c r="F33" s="37"/>
      <c r="G33" s="37"/>
      <c r="H33" s="37"/>
      <c r="I33" s="29"/>
      <c r="J33" s="37"/>
      <c r="K33" s="37"/>
      <c r="L33" s="37"/>
      <c r="M33" s="37"/>
      <c r="N33" s="37"/>
      <c r="O33" s="29"/>
      <c r="P33" s="38"/>
      <c r="Q33" s="29"/>
      <c r="R33" s="29"/>
      <c r="S33" s="29"/>
      <c r="T33" s="29"/>
      <c r="U33" s="37"/>
      <c r="V33" s="37"/>
      <c r="W33" s="37"/>
      <c r="X33" s="79">
        <f t="shared" si="0"/>
        <v>0</v>
      </c>
      <c r="Y33" s="94" t="s">
        <v>39</v>
      </c>
      <c r="Z33" s="366"/>
      <c r="AA33" s="37"/>
      <c r="AB33" s="29"/>
      <c r="AC33" s="35"/>
      <c r="AD33" s="36">
        <f>X33*Z33/100</f>
        <v>0</v>
      </c>
      <c r="AE33" s="35"/>
      <c r="AF33" s="31">
        <f>X33*AB33/100</f>
        <v>0</v>
      </c>
      <c r="AG33" s="33"/>
      <c r="AH33" s="43">
        <f t="shared" si="3"/>
        <v>0</v>
      </c>
      <c r="AI33" s="93"/>
      <c r="AJ33" s="77"/>
      <c r="AK33" s="77"/>
      <c r="AL33" s="77"/>
      <c r="AM33" s="77"/>
      <c r="AN33" s="77"/>
      <c r="AO33" s="77"/>
      <c r="AP33" s="77"/>
      <c r="AQ33" s="46"/>
      <c r="AR33" s="346"/>
    </row>
    <row r="34" spans="1:45" ht="15" customHeight="1" x14ac:dyDescent="0.2">
      <c r="A34" s="32"/>
      <c r="B34" s="32"/>
      <c r="C34" s="37"/>
      <c r="D34" s="37"/>
      <c r="E34" s="37"/>
      <c r="F34" s="37"/>
      <c r="G34" s="37"/>
      <c r="H34" s="37"/>
      <c r="I34" s="37"/>
      <c r="J34" s="37"/>
      <c r="K34" s="37"/>
      <c r="L34" s="37"/>
      <c r="M34" s="37"/>
      <c r="N34" s="37"/>
      <c r="O34" s="37"/>
      <c r="P34" s="37"/>
      <c r="Q34" s="37"/>
      <c r="R34" s="37"/>
      <c r="S34" s="37"/>
      <c r="T34" s="37"/>
      <c r="U34" s="37"/>
      <c r="V34" s="37"/>
      <c r="W34" s="37"/>
      <c r="X34" s="79">
        <f t="shared" si="0"/>
        <v>0</v>
      </c>
      <c r="Y34" s="94" t="s">
        <v>40</v>
      </c>
      <c r="Z34" s="354"/>
      <c r="AA34" s="37"/>
      <c r="AB34" s="37"/>
      <c r="AC34" s="35"/>
      <c r="AD34" s="36">
        <f>X34*Z34/100</f>
        <v>0</v>
      </c>
      <c r="AE34" s="35"/>
      <c r="AF34" s="31">
        <f>X34*AB34</f>
        <v>0</v>
      </c>
      <c r="AG34" s="33"/>
      <c r="AH34" s="43">
        <f t="shared" si="3"/>
        <v>0</v>
      </c>
      <c r="AI34" s="93"/>
      <c r="AJ34" s="77"/>
      <c r="AK34" s="77"/>
      <c r="AL34" s="77"/>
      <c r="AM34" s="77"/>
      <c r="AN34" s="77"/>
      <c r="AO34" s="77"/>
      <c r="AP34" s="77"/>
      <c r="AQ34" s="46"/>
      <c r="AR34" s="346"/>
    </row>
    <row r="35" spans="1:45" ht="15" customHeight="1" x14ac:dyDescent="0.2">
      <c r="A35" s="32"/>
      <c r="B35" s="32"/>
      <c r="C35" s="37"/>
      <c r="D35" s="37"/>
      <c r="E35" s="376"/>
      <c r="F35" s="37"/>
      <c r="G35" s="37"/>
      <c r="H35" s="37"/>
      <c r="I35" s="37"/>
      <c r="J35" s="37"/>
      <c r="K35" s="37"/>
      <c r="L35" s="37"/>
      <c r="M35" s="37"/>
      <c r="N35" s="37"/>
      <c r="O35" s="37"/>
      <c r="P35" s="37"/>
      <c r="Q35" s="37"/>
      <c r="R35" s="37"/>
      <c r="S35" s="37"/>
      <c r="T35" s="37"/>
      <c r="U35" s="37"/>
      <c r="V35" s="37"/>
      <c r="W35" s="37"/>
      <c r="X35" s="79">
        <f t="shared" si="0"/>
        <v>0</v>
      </c>
      <c r="Y35" s="94" t="s">
        <v>41</v>
      </c>
      <c r="Z35" s="354"/>
      <c r="AA35" s="37"/>
      <c r="AB35" s="37"/>
      <c r="AC35" s="35"/>
      <c r="AD35" s="36">
        <f>X35*Z35/100</f>
        <v>0</v>
      </c>
      <c r="AE35" s="35"/>
      <c r="AF35" s="31">
        <f>X35*AB35</f>
        <v>0</v>
      </c>
      <c r="AG35" s="33"/>
      <c r="AH35" s="43">
        <f t="shared" si="3"/>
        <v>0</v>
      </c>
      <c r="AI35" s="93"/>
      <c r="AJ35" s="77"/>
      <c r="AK35" s="77"/>
      <c r="AL35" s="77"/>
      <c r="AM35" s="77"/>
      <c r="AN35" s="77"/>
      <c r="AO35" s="77"/>
      <c r="AP35" s="77"/>
      <c r="AQ35" s="46"/>
      <c r="AR35" s="346"/>
    </row>
    <row r="36" spans="1:45" ht="15" customHeight="1" x14ac:dyDescent="0.2">
      <c r="A36" s="32"/>
      <c r="B36" s="32"/>
      <c r="C36" s="37"/>
      <c r="D36" s="37"/>
      <c r="E36" s="29"/>
      <c r="F36" s="37"/>
      <c r="G36" s="37"/>
      <c r="H36" s="37"/>
      <c r="I36" s="37"/>
      <c r="J36" s="37"/>
      <c r="K36" s="37"/>
      <c r="L36" s="37"/>
      <c r="M36" s="37"/>
      <c r="N36" s="37"/>
      <c r="O36" s="37"/>
      <c r="P36" s="29"/>
      <c r="Q36" s="37"/>
      <c r="R36" s="37"/>
      <c r="S36" s="37"/>
      <c r="T36" s="37"/>
      <c r="U36" s="37"/>
      <c r="V36" s="37"/>
      <c r="W36" s="37"/>
      <c r="X36" s="79">
        <f t="shared" si="0"/>
        <v>0</v>
      </c>
      <c r="Y36" s="94" t="s">
        <v>42</v>
      </c>
      <c r="Z36" s="354"/>
      <c r="AA36" s="37"/>
      <c r="AB36" s="29"/>
      <c r="AC36" s="35"/>
      <c r="AD36" s="36"/>
      <c r="AE36" s="35"/>
      <c r="AF36" s="31">
        <f>X36*AB36/100</f>
        <v>0</v>
      </c>
      <c r="AG36" s="33"/>
      <c r="AH36" s="43">
        <f t="shared" si="3"/>
        <v>0</v>
      </c>
      <c r="AI36" s="93"/>
      <c r="AJ36" s="77"/>
      <c r="AK36" s="77"/>
      <c r="AL36" s="77"/>
      <c r="AM36" s="77"/>
      <c r="AN36" s="77"/>
      <c r="AO36" s="77"/>
      <c r="AP36" s="77"/>
      <c r="AQ36" s="46"/>
      <c r="AR36" s="346"/>
    </row>
    <row r="37" spans="1:45" ht="15" customHeight="1" x14ac:dyDescent="0.2">
      <c r="A37" s="253"/>
      <c r="B37" s="253"/>
      <c r="C37" s="253"/>
      <c r="D37" s="37"/>
      <c r="E37" s="37"/>
      <c r="F37" s="37"/>
      <c r="G37" s="37"/>
      <c r="H37" s="37"/>
      <c r="I37" s="37"/>
      <c r="J37" s="37"/>
      <c r="K37" s="37"/>
      <c r="L37" s="37"/>
      <c r="M37" s="37"/>
      <c r="N37" s="29">
        <f>AF37-AE37</f>
        <v>0</v>
      </c>
      <c r="O37" s="37"/>
      <c r="P37" s="37"/>
      <c r="Q37" s="37"/>
      <c r="R37" s="37"/>
      <c r="S37" s="37"/>
      <c r="T37" s="37"/>
      <c r="U37" s="37"/>
      <c r="V37" s="37"/>
      <c r="W37" s="37"/>
      <c r="X37" s="79">
        <f t="shared" si="0"/>
        <v>0</v>
      </c>
      <c r="Y37" s="94" t="s">
        <v>213</v>
      </c>
      <c r="Z37" s="36"/>
      <c r="AA37" s="38"/>
      <c r="AB37" s="38"/>
      <c r="AC37" s="35"/>
      <c r="AD37" s="354">
        <f>-AE37/$D$2%</f>
        <v>0</v>
      </c>
      <c r="AE37" s="44"/>
      <c r="AF37" s="45">
        <f>AE37*AB37%</f>
        <v>0</v>
      </c>
      <c r="AG37" s="375"/>
      <c r="AH37" s="43"/>
      <c r="AI37" s="93"/>
      <c r="AJ37" s="93"/>
      <c r="AK37" s="77"/>
      <c r="AL37" s="77"/>
      <c r="AM37" s="77"/>
      <c r="AN37" s="77"/>
      <c r="AO37" s="77"/>
      <c r="AP37" s="77"/>
      <c r="AQ37" s="46"/>
      <c r="AR37" s="346"/>
    </row>
    <row r="38" spans="1:45" ht="15" customHeight="1" x14ac:dyDescent="0.2">
      <c r="A38" s="253"/>
      <c r="B38" s="253"/>
      <c r="C38" s="253"/>
      <c r="D38" s="37"/>
      <c r="E38" s="37"/>
      <c r="F38" s="37"/>
      <c r="G38" s="37"/>
      <c r="H38" s="37"/>
      <c r="I38" s="37"/>
      <c r="J38" s="37"/>
      <c r="K38" s="37"/>
      <c r="L38" s="37"/>
      <c r="M38" s="37"/>
      <c r="N38" s="37"/>
      <c r="O38" s="37"/>
      <c r="P38" s="37"/>
      <c r="Q38" s="37"/>
      <c r="R38" s="37"/>
      <c r="S38" s="37"/>
      <c r="T38" s="37"/>
      <c r="U38" s="37"/>
      <c r="V38" s="37"/>
      <c r="W38" s="37"/>
      <c r="X38" s="79">
        <f t="shared" si="0"/>
        <v>0</v>
      </c>
      <c r="Y38" s="94" t="s">
        <v>214</v>
      </c>
      <c r="Z38" s="36"/>
      <c r="AA38" s="38"/>
      <c r="AB38" s="38"/>
      <c r="AC38" s="35"/>
      <c r="AD38" s="354">
        <f>-AE38/$D$2%</f>
        <v>0</v>
      </c>
      <c r="AE38" s="35"/>
      <c r="AF38" s="36">
        <f>AE38*AB38%</f>
        <v>0</v>
      </c>
      <c r="AG38" s="375"/>
      <c r="AH38" s="43"/>
      <c r="AI38" s="93"/>
      <c r="AJ38" s="93"/>
      <c r="AK38" s="77"/>
      <c r="AL38" s="77"/>
      <c r="AM38" s="77"/>
      <c r="AN38" s="77"/>
      <c r="AO38" s="77"/>
      <c r="AP38" s="77"/>
      <c r="AQ38" s="46"/>
      <c r="AR38" s="346"/>
    </row>
    <row r="39" spans="1:45" ht="15" customHeight="1" x14ac:dyDescent="0.2">
      <c r="A39" s="32"/>
      <c r="B39" s="32"/>
      <c r="C39" s="37"/>
      <c r="D39" s="37"/>
      <c r="E39" s="37"/>
      <c r="F39" s="37"/>
      <c r="G39" s="37"/>
      <c r="H39" s="37"/>
      <c r="I39" s="37"/>
      <c r="J39" s="37"/>
      <c r="K39" s="37"/>
      <c r="L39" s="37"/>
      <c r="M39" s="37"/>
      <c r="N39" s="37"/>
      <c r="O39" s="37"/>
      <c r="P39" s="37"/>
      <c r="Q39" s="37"/>
      <c r="R39" s="37"/>
      <c r="S39" s="37"/>
      <c r="T39" s="37"/>
      <c r="U39" s="37"/>
      <c r="V39" s="37"/>
      <c r="W39" s="37"/>
      <c r="X39" s="46">
        <f t="shared" si="0"/>
        <v>0</v>
      </c>
      <c r="Y39" s="94" t="s">
        <v>63</v>
      </c>
      <c r="Z39" s="354"/>
      <c r="AA39" s="37"/>
      <c r="AB39" s="37"/>
      <c r="AC39" s="365">
        <v>75</v>
      </c>
      <c r="AD39" s="36"/>
      <c r="AE39" s="35"/>
      <c r="AF39" s="31">
        <f>-SUM(AF33:AF38)</f>
        <v>0</v>
      </c>
      <c r="AG39" s="33">
        <f>-AF39*AC39/100</f>
        <v>0</v>
      </c>
      <c r="AH39" s="43">
        <f>SUM(AI39:AQ39)</f>
        <v>0</v>
      </c>
      <c r="AI39" s="42">
        <f>AG39*66.8%</f>
        <v>0</v>
      </c>
      <c r="AJ39" s="42">
        <f>AG39*12%</f>
        <v>0</v>
      </c>
      <c r="AK39" s="32">
        <f>AG39*4.1%</f>
        <v>0</v>
      </c>
      <c r="AL39" s="32">
        <f>AG39*10.6%</f>
        <v>0</v>
      </c>
      <c r="AM39" s="32">
        <f>AG39*0%</f>
        <v>0</v>
      </c>
      <c r="AN39" s="32">
        <f>AG39*6.4%</f>
        <v>0</v>
      </c>
      <c r="AO39" s="32">
        <f>AG39*0.03%</f>
        <v>0</v>
      </c>
      <c r="AP39" s="77"/>
      <c r="AQ39" s="46"/>
      <c r="AR39" s="346"/>
    </row>
    <row r="40" spans="1:45" ht="15" customHeight="1" x14ac:dyDescent="0.2">
      <c r="A40" s="32"/>
      <c r="B40" s="32"/>
      <c r="C40" s="37"/>
      <c r="D40" s="37"/>
      <c r="E40" s="29"/>
      <c r="F40" s="37"/>
      <c r="G40" s="37"/>
      <c r="H40" s="37"/>
      <c r="I40" s="37"/>
      <c r="J40" s="37"/>
      <c r="K40" s="37"/>
      <c r="L40" s="37"/>
      <c r="M40" s="37"/>
      <c r="N40" s="37"/>
      <c r="O40" s="29"/>
      <c r="P40" s="37"/>
      <c r="Q40" s="29"/>
      <c r="R40" s="377"/>
      <c r="S40" s="29"/>
      <c r="T40" s="29"/>
      <c r="U40" s="29"/>
      <c r="V40" s="37"/>
      <c r="W40" s="29"/>
      <c r="X40" s="79">
        <f t="shared" si="0"/>
        <v>0</v>
      </c>
      <c r="Y40" s="94" t="s">
        <v>13</v>
      </c>
      <c r="Z40" s="366"/>
      <c r="AA40" s="37"/>
      <c r="AB40" s="29"/>
      <c r="AC40" s="364"/>
      <c r="AD40" s="36">
        <f>X40*Z40/100</f>
        <v>0</v>
      </c>
      <c r="AE40" s="35"/>
      <c r="AF40" s="31">
        <f>X40*AB40/100</f>
        <v>0</v>
      </c>
      <c r="AG40" s="33"/>
      <c r="AH40" s="43">
        <f t="shared" si="3"/>
        <v>0</v>
      </c>
      <c r="AI40" s="93"/>
      <c r="AJ40" s="77"/>
      <c r="AK40" s="77"/>
      <c r="AL40" s="77"/>
      <c r="AM40" s="77"/>
      <c r="AN40" s="77"/>
      <c r="AO40" s="77"/>
      <c r="AP40" s="77"/>
      <c r="AQ40" s="46"/>
      <c r="AR40" s="346"/>
    </row>
    <row r="41" spans="1:45" ht="15" customHeight="1" x14ac:dyDescent="0.2">
      <c r="A41" s="32"/>
      <c r="B41" s="32"/>
      <c r="C41" s="37"/>
      <c r="D41" s="37"/>
      <c r="E41" s="29"/>
      <c r="F41" s="37"/>
      <c r="G41" s="37"/>
      <c r="H41" s="37"/>
      <c r="I41" s="37"/>
      <c r="J41" s="37"/>
      <c r="K41" s="37"/>
      <c r="L41" s="37"/>
      <c r="M41" s="37"/>
      <c r="N41" s="37"/>
      <c r="O41" s="37"/>
      <c r="P41" s="37"/>
      <c r="Q41" s="37"/>
      <c r="R41" s="37"/>
      <c r="S41" s="29"/>
      <c r="T41" s="37"/>
      <c r="U41" s="29"/>
      <c r="V41" s="37"/>
      <c r="W41" s="29"/>
      <c r="X41" s="79">
        <f t="shared" si="0"/>
        <v>0</v>
      </c>
      <c r="Y41" s="94" t="s">
        <v>14</v>
      </c>
      <c r="Z41" s="354"/>
      <c r="AA41" s="37"/>
      <c r="AB41" s="29"/>
      <c r="AC41" s="364"/>
      <c r="AD41" s="36">
        <f>X41*Z41/100</f>
        <v>0</v>
      </c>
      <c r="AE41" s="35"/>
      <c r="AF41" s="31">
        <f>X41*AB41/100</f>
        <v>0</v>
      </c>
      <c r="AG41" s="33"/>
      <c r="AH41" s="43">
        <f t="shared" si="3"/>
        <v>0</v>
      </c>
      <c r="AI41" s="93"/>
      <c r="AJ41" s="77"/>
      <c r="AK41" s="77"/>
      <c r="AL41" s="77"/>
      <c r="AM41" s="77"/>
      <c r="AN41" s="77"/>
      <c r="AO41" s="77"/>
      <c r="AP41" s="77"/>
      <c r="AQ41" s="46"/>
      <c r="AR41" s="346"/>
    </row>
    <row r="42" spans="1:45" ht="15" customHeight="1" x14ac:dyDescent="0.2">
      <c r="A42" s="32"/>
      <c r="B42" s="38"/>
      <c r="C42" s="37"/>
      <c r="D42" s="37"/>
      <c r="E42" s="37"/>
      <c r="F42" s="37"/>
      <c r="G42" s="37"/>
      <c r="H42" s="37"/>
      <c r="I42" s="37"/>
      <c r="J42" s="37"/>
      <c r="K42" s="37"/>
      <c r="L42" s="37"/>
      <c r="M42" s="37"/>
      <c r="N42" s="37"/>
      <c r="O42" s="37"/>
      <c r="P42" s="37"/>
      <c r="Q42" s="37"/>
      <c r="R42" s="37"/>
      <c r="S42" s="37"/>
      <c r="T42" s="37"/>
      <c r="U42" s="29"/>
      <c r="V42" s="37"/>
      <c r="W42" s="29"/>
      <c r="X42" s="79">
        <f t="shared" si="0"/>
        <v>0</v>
      </c>
      <c r="Y42" s="94" t="s">
        <v>15</v>
      </c>
      <c r="Z42" s="354"/>
      <c r="AA42" s="37"/>
      <c r="AB42" s="37"/>
      <c r="AC42" s="364"/>
      <c r="AD42" s="36">
        <f>X42*Z42/100</f>
        <v>0</v>
      </c>
      <c r="AE42" s="35"/>
      <c r="AF42" s="31">
        <f>X42*AB42/100</f>
        <v>0</v>
      </c>
      <c r="AG42" s="33"/>
      <c r="AH42" s="43">
        <f t="shared" si="3"/>
        <v>0</v>
      </c>
      <c r="AI42" s="93"/>
      <c r="AJ42" s="77"/>
      <c r="AK42" s="77"/>
      <c r="AL42" s="77"/>
      <c r="AM42" s="77"/>
      <c r="AN42" s="77"/>
      <c r="AO42" s="77"/>
      <c r="AP42" s="77"/>
      <c r="AQ42" s="46"/>
      <c r="AR42" s="346"/>
      <c r="AS42" s="62"/>
    </row>
    <row r="43" spans="1:45" ht="15" customHeight="1" x14ac:dyDescent="0.2">
      <c r="A43" s="32"/>
      <c r="B43" s="32"/>
      <c r="C43" s="37"/>
      <c r="D43" s="37"/>
      <c r="E43" s="37"/>
      <c r="F43" s="37"/>
      <c r="G43" s="37"/>
      <c r="H43" s="37"/>
      <c r="I43" s="37"/>
      <c r="J43" s="37"/>
      <c r="K43" s="37"/>
      <c r="L43" s="37"/>
      <c r="M43" s="37"/>
      <c r="N43" s="37"/>
      <c r="O43" s="37"/>
      <c r="P43" s="37"/>
      <c r="Q43" s="37"/>
      <c r="R43" s="37"/>
      <c r="S43" s="37"/>
      <c r="T43" s="37"/>
      <c r="U43" s="37"/>
      <c r="V43" s="37"/>
      <c r="W43" s="37"/>
      <c r="X43" s="46">
        <f t="shared" si="0"/>
        <v>0</v>
      </c>
      <c r="Y43" s="27" t="s">
        <v>64</v>
      </c>
      <c r="Z43" s="354"/>
      <c r="AA43" s="37"/>
      <c r="AB43" s="37"/>
      <c r="AC43" s="365">
        <v>75</v>
      </c>
      <c r="AD43" s="36"/>
      <c r="AE43" s="35"/>
      <c r="AF43" s="31">
        <f>-SUM(AF40:AF42)</f>
        <v>0</v>
      </c>
      <c r="AG43" s="33">
        <f>-AF43*AC43/100</f>
        <v>0</v>
      </c>
      <c r="AH43" s="80">
        <f t="shared" si="3"/>
        <v>0</v>
      </c>
      <c r="AI43" s="30">
        <f>AG43*65.2%</f>
        <v>0</v>
      </c>
      <c r="AJ43" s="30">
        <f>AG43*9.9%</f>
        <v>0</v>
      </c>
      <c r="AK43" s="29">
        <f>AG43*13.3%</f>
        <v>0</v>
      </c>
      <c r="AL43" s="29">
        <f>AG43*7%</f>
        <v>0</v>
      </c>
      <c r="AM43" s="29">
        <f>AG43*0%</f>
        <v>0</v>
      </c>
      <c r="AN43" s="29">
        <f>AG43*3.2%</f>
        <v>0</v>
      </c>
      <c r="AO43" s="29">
        <f>AG43*1.5%</f>
        <v>0</v>
      </c>
      <c r="AP43" s="77"/>
      <c r="AQ43" s="46"/>
      <c r="AR43" s="346"/>
      <c r="AS43" s="62"/>
    </row>
    <row r="44" spans="1:45" ht="15" customHeight="1" x14ac:dyDescent="0.2">
      <c r="A44" s="32"/>
      <c r="B44" s="29"/>
      <c r="C44" s="378"/>
      <c r="D44" s="37"/>
      <c r="E44" s="378"/>
      <c r="F44" s="37"/>
      <c r="G44" s="37"/>
      <c r="H44" s="37"/>
      <c r="I44" s="29"/>
      <c r="J44" s="37"/>
      <c r="K44" s="37"/>
      <c r="L44" s="37"/>
      <c r="M44" s="37"/>
      <c r="N44" s="37"/>
      <c r="O44" s="29"/>
      <c r="P44" s="37"/>
      <c r="Q44" s="378"/>
      <c r="R44" s="29"/>
      <c r="S44" s="29"/>
      <c r="T44" s="29"/>
      <c r="U44" s="29"/>
      <c r="V44" s="37"/>
      <c r="W44" s="29"/>
      <c r="X44" s="46">
        <f t="shared" si="0"/>
        <v>0</v>
      </c>
      <c r="Y44" s="94" t="s">
        <v>43</v>
      </c>
      <c r="Z44" s="366"/>
      <c r="AA44" s="37"/>
      <c r="AB44" s="29"/>
      <c r="AC44" s="364"/>
      <c r="AD44" s="31">
        <f>X44*Z44/100</f>
        <v>0</v>
      </c>
      <c r="AE44" s="33"/>
      <c r="AF44" s="31">
        <f t="shared" ref="AF44:AF51" si="5">X44*AB44/100</f>
        <v>0</v>
      </c>
      <c r="AG44" s="33"/>
      <c r="AH44" s="43">
        <f t="shared" si="3"/>
        <v>0</v>
      </c>
      <c r="AI44" s="93"/>
      <c r="AJ44" s="77"/>
      <c r="AK44" s="77"/>
      <c r="AL44" s="77"/>
      <c r="AM44" s="77"/>
      <c r="AN44" s="77"/>
      <c r="AO44" s="77"/>
      <c r="AP44" s="77"/>
      <c r="AQ44" s="46"/>
      <c r="AR44" s="346"/>
      <c r="AS44" s="62"/>
    </row>
    <row r="45" spans="1:45" ht="15" customHeight="1" x14ac:dyDescent="0.2">
      <c r="A45" s="32"/>
      <c r="B45" s="38"/>
      <c r="C45" s="37"/>
      <c r="D45" s="37"/>
      <c r="E45" s="37"/>
      <c r="F45" s="37"/>
      <c r="G45" s="37"/>
      <c r="H45" s="37"/>
      <c r="I45" s="29"/>
      <c r="J45" s="37"/>
      <c r="K45" s="37"/>
      <c r="L45" s="37"/>
      <c r="M45" s="37"/>
      <c r="N45" s="37"/>
      <c r="O45" s="29"/>
      <c r="P45" s="37"/>
      <c r="Q45" s="37"/>
      <c r="R45" s="37"/>
      <c r="S45" s="29"/>
      <c r="T45" s="29"/>
      <c r="U45" s="37"/>
      <c r="V45" s="37"/>
      <c r="W45" s="37"/>
      <c r="X45" s="46">
        <f t="shared" si="0"/>
        <v>0</v>
      </c>
      <c r="Y45" s="94" t="s">
        <v>44</v>
      </c>
      <c r="Z45" s="366"/>
      <c r="AA45" s="37"/>
      <c r="AB45" s="29"/>
      <c r="AC45" s="364"/>
      <c r="AD45" s="31">
        <f>X45*Z45/100</f>
        <v>0</v>
      </c>
      <c r="AE45" s="33"/>
      <c r="AF45" s="31">
        <f t="shared" si="5"/>
        <v>0</v>
      </c>
      <c r="AG45" s="33"/>
      <c r="AH45" s="43">
        <f t="shared" si="3"/>
        <v>0</v>
      </c>
      <c r="AI45" s="93"/>
      <c r="AJ45" s="77"/>
      <c r="AK45" s="77"/>
      <c r="AL45" s="77"/>
      <c r="AM45" s="77"/>
      <c r="AN45" s="77"/>
      <c r="AO45" s="77"/>
      <c r="AP45" s="77"/>
      <c r="AQ45" s="46"/>
      <c r="AR45" s="346"/>
      <c r="AS45" s="62"/>
    </row>
    <row r="46" spans="1:45" ht="15" customHeight="1" x14ac:dyDescent="0.2">
      <c r="A46" s="32"/>
      <c r="B46" s="32"/>
      <c r="C46" s="37"/>
      <c r="D46" s="37"/>
      <c r="E46" s="37"/>
      <c r="F46" s="37"/>
      <c r="G46" s="37"/>
      <c r="H46" s="37"/>
      <c r="I46" s="29"/>
      <c r="J46" s="37"/>
      <c r="K46" s="37"/>
      <c r="L46" s="37"/>
      <c r="M46" s="37"/>
      <c r="N46" s="37"/>
      <c r="O46" s="37"/>
      <c r="P46" s="37"/>
      <c r="Q46" s="37"/>
      <c r="R46" s="37"/>
      <c r="S46" s="377"/>
      <c r="T46" s="37"/>
      <c r="U46" s="37"/>
      <c r="V46" s="37"/>
      <c r="W46" s="37"/>
      <c r="X46" s="46">
        <f t="shared" si="0"/>
        <v>0</v>
      </c>
      <c r="Y46" s="94" t="s">
        <v>29</v>
      </c>
      <c r="Z46" s="366"/>
      <c r="AA46" s="37"/>
      <c r="AB46" s="29"/>
      <c r="AC46" s="364"/>
      <c r="AD46" s="31">
        <f>X46*Z46/100</f>
        <v>0</v>
      </c>
      <c r="AE46" s="33"/>
      <c r="AF46" s="31">
        <f t="shared" si="5"/>
        <v>0</v>
      </c>
      <c r="AG46" s="33"/>
      <c r="AH46" s="43">
        <f t="shared" si="3"/>
        <v>0</v>
      </c>
      <c r="AI46" s="93"/>
      <c r="AJ46" s="77"/>
      <c r="AK46" s="77"/>
      <c r="AL46" s="77"/>
      <c r="AM46" s="77"/>
      <c r="AN46" s="77"/>
      <c r="AO46" s="77"/>
      <c r="AP46" s="77"/>
      <c r="AQ46" s="46"/>
      <c r="AR46" s="346"/>
      <c r="AS46" s="62"/>
    </row>
    <row r="47" spans="1:45" ht="15" customHeight="1" x14ac:dyDescent="0.2">
      <c r="A47" s="32"/>
      <c r="B47" s="32"/>
      <c r="C47" s="37"/>
      <c r="D47" s="29"/>
      <c r="E47" s="29"/>
      <c r="F47" s="37"/>
      <c r="G47" s="37"/>
      <c r="H47" s="37"/>
      <c r="I47" s="29"/>
      <c r="J47" s="37"/>
      <c r="K47" s="37"/>
      <c r="L47" s="37"/>
      <c r="M47" s="37"/>
      <c r="N47" s="37"/>
      <c r="O47" s="29"/>
      <c r="P47" s="29"/>
      <c r="Q47" s="29"/>
      <c r="R47" s="29"/>
      <c r="S47" s="29"/>
      <c r="T47" s="29"/>
      <c r="U47" s="37"/>
      <c r="V47" s="37"/>
      <c r="W47" s="37"/>
      <c r="X47" s="46">
        <f t="shared" si="0"/>
        <v>0</v>
      </c>
      <c r="Y47" s="94" t="s">
        <v>30</v>
      </c>
      <c r="Z47" s="354"/>
      <c r="AA47" s="37"/>
      <c r="AB47" s="29"/>
      <c r="AC47" s="364"/>
      <c r="AD47" s="31">
        <f>X47*Z47/100</f>
        <v>0</v>
      </c>
      <c r="AE47" s="33"/>
      <c r="AF47" s="31">
        <f t="shared" si="5"/>
        <v>0</v>
      </c>
      <c r="AG47" s="33"/>
      <c r="AH47" s="43">
        <f t="shared" si="3"/>
        <v>0</v>
      </c>
      <c r="AI47" s="93"/>
      <c r="AJ47" s="77"/>
      <c r="AK47" s="77"/>
      <c r="AL47" s="77"/>
      <c r="AM47" s="77"/>
      <c r="AN47" s="77"/>
      <c r="AO47" s="77"/>
      <c r="AP47" s="77"/>
      <c r="AQ47" s="46"/>
      <c r="AR47" s="346"/>
      <c r="AS47" s="62"/>
    </row>
    <row r="48" spans="1:45" s="4" customFormat="1" ht="15" customHeight="1" x14ac:dyDescent="0.2">
      <c r="A48" s="253"/>
      <c r="B48" s="253"/>
      <c r="C48" s="253"/>
      <c r="D48" s="253"/>
      <c r="E48" s="253"/>
      <c r="F48" s="253"/>
      <c r="G48" s="253"/>
      <c r="H48" s="253"/>
      <c r="I48" s="37"/>
      <c r="J48" s="37"/>
      <c r="K48" s="253"/>
      <c r="L48" s="253"/>
      <c r="M48" s="253"/>
      <c r="N48" s="29">
        <f>AF48-AE48</f>
        <v>0</v>
      </c>
      <c r="O48" s="37"/>
      <c r="P48" s="37"/>
      <c r="Q48" s="37"/>
      <c r="R48" s="37"/>
      <c r="S48" s="37"/>
      <c r="T48" s="37"/>
      <c r="U48" s="37"/>
      <c r="V48" s="37"/>
      <c r="W48" s="37"/>
      <c r="X48" s="46">
        <f t="shared" si="0"/>
        <v>0</v>
      </c>
      <c r="Y48" s="34" t="s">
        <v>116</v>
      </c>
      <c r="Z48" s="36"/>
      <c r="AA48" s="38"/>
      <c r="AB48" s="29"/>
      <c r="AC48" s="35"/>
      <c r="AD48" s="354">
        <f>-AE48/$D$2%</f>
        <v>0</v>
      </c>
      <c r="AE48" s="379"/>
      <c r="AF48" s="45">
        <f>AE48*AB48%</f>
        <v>0</v>
      </c>
      <c r="AG48" s="364"/>
      <c r="AH48" s="28"/>
      <c r="AI48" s="42"/>
      <c r="AJ48" s="32"/>
      <c r="AK48" s="32"/>
      <c r="AL48" s="32"/>
      <c r="AM48" s="32"/>
      <c r="AN48" s="32"/>
      <c r="AO48" s="32"/>
      <c r="AP48" s="32"/>
      <c r="AQ48" s="33"/>
      <c r="AR48" s="346"/>
    </row>
    <row r="49" spans="1:44" s="4" customFormat="1" ht="15" customHeight="1" x14ac:dyDescent="0.2">
      <c r="A49" s="253"/>
      <c r="B49" s="253"/>
      <c r="C49" s="253"/>
      <c r="D49" s="253"/>
      <c r="E49" s="253"/>
      <c r="F49" s="253"/>
      <c r="G49" s="253"/>
      <c r="H49" s="253"/>
      <c r="I49" s="37"/>
      <c r="J49" s="37"/>
      <c r="K49" s="253"/>
      <c r="L49" s="253"/>
      <c r="M49" s="253"/>
      <c r="N49" s="38"/>
      <c r="O49" s="37"/>
      <c r="P49" s="37"/>
      <c r="Q49" s="37"/>
      <c r="R49" s="37"/>
      <c r="S49" s="37"/>
      <c r="T49" s="37"/>
      <c r="U49" s="37"/>
      <c r="V49" s="37"/>
      <c r="W49" s="37"/>
      <c r="X49" s="33"/>
      <c r="Y49" s="34" t="s">
        <v>117</v>
      </c>
      <c r="Z49" s="36"/>
      <c r="AA49" s="38"/>
      <c r="AB49" s="29"/>
      <c r="AC49" s="35"/>
      <c r="AD49" s="354">
        <f>-AE49/$D$2%</f>
        <v>0</v>
      </c>
      <c r="AE49" s="365"/>
      <c r="AF49" s="354">
        <f>AE49*AB49%</f>
        <v>0</v>
      </c>
      <c r="AG49" s="364"/>
      <c r="AH49" s="28"/>
      <c r="AI49" s="42"/>
      <c r="AJ49" s="32"/>
      <c r="AK49" s="32"/>
      <c r="AL49" s="32"/>
      <c r="AM49" s="32"/>
      <c r="AN49" s="32"/>
      <c r="AO49" s="32"/>
      <c r="AP49" s="32"/>
      <c r="AQ49" s="33"/>
      <c r="AR49" s="346"/>
    </row>
    <row r="50" spans="1:44" ht="15" customHeight="1" x14ac:dyDescent="0.2">
      <c r="A50" s="32"/>
      <c r="B50" s="32"/>
      <c r="C50" s="253"/>
      <c r="D50" s="253"/>
      <c r="E50" s="253"/>
      <c r="F50" s="253"/>
      <c r="G50" s="253"/>
      <c r="H50" s="253"/>
      <c r="I50" s="253"/>
      <c r="J50" s="253"/>
      <c r="K50" s="253"/>
      <c r="L50" s="397"/>
      <c r="M50" s="253"/>
      <c r="N50" s="37"/>
      <c r="O50" s="37"/>
      <c r="P50" s="37"/>
      <c r="Q50" s="37"/>
      <c r="R50" s="37"/>
      <c r="S50" s="37"/>
      <c r="T50" s="37"/>
      <c r="U50" s="37"/>
      <c r="V50" s="37"/>
      <c r="W50" s="37"/>
      <c r="X50" s="46">
        <f t="shared" ref="X50:X59" si="6">SUM(A50:W50)</f>
        <v>0</v>
      </c>
      <c r="Y50" s="96" t="s">
        <v>36</v>
      </c>
      <c r="Z50" s="354"/>
      <c r="AA50" s="37"/>
      <c r="AB50" s="29"/>
      <c r="AC50" s="364"/>
      <c r="AD50" s="31"/>
      <c r="AE50" s="33"/>
      <c r="AF50" s="31">
        <f t="shared" si="5"/>
        <v>0</v>
      </c>
      <c r="AG50" s="33"/>
      <c r="AH50" s="43">
        <f t="shared" si="3"/>
        <v>0</v>
      </c>
      <c r="AI50" s="93"/>
      <c r="AJ50" s="77"/>
      <c r="AK50" s="77"/>
      <c r="AL50" s="77"/>
      <c r="AM50" s="77"/>
      <c r="AN50" s="77"/>
      <c r="AO50" s="77"/>
      <c r="AP50" s="77"/>
      <c r="AQ50" s="46"/>
      <c r="AR50" s="346"/>
    </row>
    <row r="51" spans="1:44" ht="15" customHeight="1" x14ac:dyDescent="0.2">
      <c r="A51" s="38"/>
      <c r="B51" s="29"/>
      <c r="C51" s="37"/>
      <c r="D51" s="37"/>
      <c r="E51" s="29"/>
      <c r="F51" s="37"/>
      <c r="G51" s="37"/>
      <c r="H51" s="37"/>
      <c r="I51" s="29"/>
      <c r="J51" s="37"/>
      <c r="K51" s="37"/>
      <c r="L51" s="37"/>
      <c r="M51" s="37"/>
      <c r="N51" s="37"/>
      <c r="O51" s="37"/>
      <c r="P51" s="37"/>
      <c r="Q51" s="37"/>
      <c r="R51" s="29"/>
      <c r="S51" s="29"/>
      <c r="T51" s="37"/>
      <c r="U51" s="29"/>
      <c r="V51" s="37"/>
      <c r="W51" s="29"/>
      <c r="X51" s="46">
        <f t="shared" si="6"/>
        <v>0</v>
      </c>
      <c r="Y51" s="94" t="s">
        <v>31</v>
      </c>
      <c r="Z51" s="366"/>
      <c r="AA51" s="37"/>
      <c r="AB51" s="29"/>
      <c r="AC51" s="364"/>
      <c r="AD51" s="31">
        <f>X51*Z51/100</f>
        <v>0</v>
      </c>
      <c r="AE51" s="33"/>
      <c r="AF51" s="31">
        <f t="shared" si="5"/>
        <v>0</v>
      </c>
      <c r="AG51" s="33"/>
      <c r="AH51" s="43">
        <f t="shared" si="3"/>
        <v>0</v>
      </c>
      <c r="AI51" s="93"/>
      <c r="AJ51" s="77"/>
      <c r="AK51" s="77"/>
      <c r="AL51" s="77"/>
      <c r="AM51" s="77"/>
      <c r="AN51" s="77"/>
      <c r="AO51" s="77"/>
      <c r="AP51" s="77"/>
      <c r="AQ51" s="46"/>
      <c r="AR51" s="346"/>
    </row>
    <row r="52" spans="1:44" ht="15" customHeight="1" x14ac:dyDescent="0.2">
      <c r="A52" s="32"/>
      <c r="B52" s="32"/>
      <c r="C52" s="253"/>
      <c r="D52" s="253"/>
      <c r="E52" s="253"/>
      <c r="F52" s="253"/>
      <c r="G52" s="253"/>
      <c r="H52" s="253"/>
      <c r="I52" s="253"/>
      <c r="J52" s="253"/>
      <c r="K52" s="253"/>
      <c r="L52" s="253"/>
      <c r="M52" s="253"/>
      <c r="N52" s="37"/>
      <c r="O52" s="37"/>
      <c r="P52" s="37"/>
      <c r="Q52" s="37"/>
      <c r="R52" s="37"/>
      <c r="S52" s="37"/>
      <c r="T52" s="37"/>
      <c r="U52" s="37"/>
      <c r="V52" s="37"/>
      <c r="W52" s="37"/>
      <c r="X52" s="46">
        <f t="shared" si="6"/>
        <v>0</v>
      </c>
      <c r="Y52" s="27" t="s">
        <v>65</v>
      </c>
      <c r="Z52" s="354"/>
      <c r="AA52" s="37"/>
      <c r="AB52" s="37"/>
      <c r="AC52" s="365">
        <v>75</v>
      </c>
      <c r="AD52" s="36"/>
      <c r="AE52" s="35"/>
      <c r="AF52" s="36">
        <f>-SUM(AF44:AF51)</f>
        <v>0</v>
      </c>
      <c r="AG52" s="35">
        <f>-AF52*AC52/100</f>
        <v>0</v>
      </c>
      <c r="AH52" s="43">
        <f t="shared" si="3"/>
        <v>0</v>
      </c>
      <c r="AI52" s="30">
        <f>AG52*65.2%</f>
        <v>0</v>
      </c>
      <c r="AJ52" s="30">
        <f>AG52*9.9%</f>
        <v>0</v>
      </c>
      <c r="AK52" s="29">
        <f>AG52*13.3%</f>
        <v>0</v>
      </c>
      <c r="AL52" s="29">
        <f>AG52*7%</f>
        <v>0</v>
      </c>
      <c r="AM52" s="29">
        <f>AG52*0%</f>
        <v>0</v>
      </c>
      <c r="AN52" s="29">
        <f>AG52*3.2%</f>
        <v>0</v>
      </c>
      <c r="AO52" s="29">
        <f>AG52*1.5%</f>
        <v>0</v>
      </c>
      <c r="AP52" s="77"/>
      <c r="AQ52" s="46"/>
      <c r="AR52" s="346"/>
    </row>
    <row r="53" spans="1:44" ht="15" customHeight="1" x14ac:dyDescent="0.2">
      <c r="A53" s="32"/>
      <c r="B53" s="32"/>
      <c r="C53" s="253"/>
      <c r="D53" s="253"/>
      <c r="E53" s="29"/>
      <c r="F53" s="253"/>
      <c r="G53" s="253"/>
      <c r="H53" s="253"/>
      <c r="I53" s="29"/>
      <c r="J53" s="37"/>
      <c r="K53" s="37"/>
      <c r="L53" s="37"/>
      <c r="M53" s="37"/>
      <c r="N53" s="37"/>
      <c r="O53" s="29"/>
      <c r="P53" s="37"/>
      <c r="Q53" s="37"/>
      <c r="R53" s="37"/>
      <c r="S53" s="37"/>
      <c r="T53" s="29"/>
      <c r="U53" s="37"/>
      <c r="V53" s="29"/>
      <c r="W53" s="37"/>
      <c r="X53" s="46">
        <f t="shared" si="6"/>
        <v>0</v>
      </c>
      <c r="Y53" s="94" t="s">
        <v>16</v>
      </c>
      <c r="Z53" s="366"/>
      <c r="AA53" s="37"/>
      <c r="AB53" s="29"/>
      <c r="AC53" s="364"/>
      <c r="AD53" s="36">
        <f>X53*Z53/100</f>
        <v>0</v>
      </c>
      <c r="AE53" s="35"/>
      <c r="AF53" s="36">
        <f>X53*AB53/100</f>
        <v>0</v>
      </c>
      <c r="AG53" s="35"/>
      <c r="AH53" s="43">
        <f t="shared" ref="AH53:AH80" si="7">SUM(AI53:AQ53)</f>
        <v>0</v>
      </c>
      <c r="AI53" s="82"/>
      <c r="AJ53" s="81"/>
      <c r="AK53" s="81"/>
      <c r="AL53" s="81"/>
      <c r="AM53" s="81"/>
      <c r="AN53" s="81"/>
      <c r="AO53" s="81"/>
      <c r="AP53" s="77"/>
      <c r="AQ53" s="46"/>
      <c r="AR53" s="346"/>
    </row>
    <row r="54" spans="1:44" ht="15" customHeight="1" x14ac:dyDescent="0.2">
      <c r="A54" s="32"/>
      <c r="B54" s="32"/>
      <c r="C54" s="253"/>
      <c r="D54" s="253"/>
      <c r="E54" s="253"/>
      <c r="F54" s="253"/>
      <c r="G54" s="253"/>
      <c r="H54" s="253"/>
      <c r="I54" s="29"/>
      <c r="J54" s="37"/>
      <c r="K54" s="37"/>
      <c r="L54" s="29"/>
      <c r="M54" s="37"/>
      <c r="N54" s="37"/>
      <c r="O54" s="29"/>
      <c r="P54" s="37"/>
      <c r="Q54" s="37"/>
      <c r="R54" s="37"/>
      <c r="S54" s="29"/>
      <c r="T54" s="29"/>
      <c r="U54" s="37"/>
      <c r="V54" s="37"/>
      <c r="W54" s="37"/>
      <c r="X54" s="46">
        <f t="shared" si="6"/>
        <v>0</v>
      </c>
      <c r="Y54" s="94" t="s">
        <v>17</v>
      </c>
      <c r="Z54" s="354"/>
      <c r="AA54" s="37"/>
      <c r="AB54" s="29"/>
      <c r="AC54" s="364"/>
      <c r="AD54" s="36">
        <f>X54*Z54/100</f>
        <v>0</v>
      </c>
      <c r="AE54" s="35"/>
      <c r="AF54" s="36">
        <f>X54*AB54/100</f>
        <v>0</v>
      </c>
      <c r="AG54" s="35"/>
      <c r="AH54" s="43">
        <f t="shared" si="7"/>
        <v>0</v>
      </c>
      <c r="AI54" s="82"/>
      <c r="AJ54" s="81"/>
      <c r="AK54" s="81"/>
      <c r="AL54" s="81"/>
      <c r="AM54" s="81"/>
      <c r="AN54" s="81"/>
      <c r="AO54" s="81"/>
      <c r="AP54" s="77"/>
      <c r="AQ54" s="46"/>
      <c r="AR54" s="346"/>
    </row>
    <row r="55" spans="1:44" ht="15" customHeight="1" x14ac:dyDescent="0.2">
      <c r="A55" s="32"/>
      <c r="B55" s="32"/>
      <c r="C55" s="253"/>
      <c r="D55" s="253"/>
      <c r="E55" s="253"/>
      <c r="F55" s="253"/>
      <c r="G55" s="253"/>
      <c r="H55" s="253"/>
      <c r="I55" s="253"/>
      <c r="J55" s="253"/>
      <c r="K55" s="253"/>
      <c r="L55" s="253"/>
      <c r="M55" s="253"/>
      <c r="N55" s="37"/>
      <c r="O55" s="37"/>
      <c r="P55" s="37"/>
      <c r="Q55" s="37"/>
      <c r="R55" s="37"/>
      <c r="S55" s="37"/>
      <c r="T55" s="37"/>
      <c r="U55" s="37"/>
      <c r="V55" s="37"/>
      <c r="W55" s="37"/>
      <c r="X55" s="46">
        <f t="shared" si="6"/>
        <v>0</v>
      </c>
      <c r="Y55" s="27" t="s">
        <v>66</v>
      </c>
      <c r="Z55" s="354"/>
      <c r="AA55" s="37"/>
      <c r="AB55" s="37"/>
      <c r="AC55" s="365">
        <v>75</v>
      </c>
      <c r="AD55" s="36"/>
      <c r="AE55" s="35"/>
      <c r="AF55" s="36">
        <f>-SUM(AF53:AF54)</f>
        <v>0</v>
      </c>
      <c r="AG55" s="35">
        <f>-AF55*AC55/100</f>
        <v>0</v>
      </c>
      <c r="AH55" s="43">
        <f t="shared" si="7"/>
        <v>0</v>
      </c>
      <c r="AI55" s="30">
        <f>AG55*65.2%</f>
        <v>0</v>
      </c>
      <c r="AJ55" s="30">
        <f>AG55*9.9%</f>
        <v>0</v>
      </c>
      <c r="AK55" s="29">
        <f>AG55*13.3%</f>
        <v>0</v>
      </c>
      <c r="AL55" s="29">
        <f>AG55*7%</f>
        <v>0</v>
      </c>
      <c r="AM55" s="29">
        <f>AG55*0%</f>
        <v>0</v>
      </c>
      <c r="AN55" s="29">
        <f>AG55*3.2%</f>
        <v>0</v>
      </c>
      <c r="AO55" s="29">
        <f>AG55*1.5%</f>
        <v>0</v>
      </c>
      <c r="AP55" s="77"/>
      <c r="AQ55" s="46"/>
      <c r="AR55" s="346"/>
    </row>
    <row r="56" spans="1:44" ht="15" customHeight="1" x14ac:dyDescent="0.2">
      <c r="A56" s="32"/>
      <c r="B56" s="32"/>
      <c r="C56" s="253"/>
      <c r="D56" s="29"/>
      <c r="E56" s="398">
        <f>0.498*(1+G95)</f>
        <v>0.44819999999999999</v>
      </c>
      <c r="F56" s="253"/>
      <c r="G56" s="253"/>
      <c r="H56" s="253"/>
      <c r="I56" s="29"/>
      <c r="J56" s="253"/>
      <c r="K56" s="253"/>
      <c r="L56" s="253"/>
      <c r="M56" s="253"/>
      <c r="N56" s="37"/>
      <c r="O56" s="29"/>
      <c r="P56" s="29"/>
      <c r="Q56" s="29"/>
      <c r="R56" s="398">
        <f>21.22*(1+G95)</f>
        <v>19.097999999999999</v>
      </c>
      <c r="S56" s="29"/>
      <c r="T56" s="29"/>
      <c r="U56" s="37"/>
      <c r="V56" s="37"/>
      <c r="W56" s="37"/>
      <c r="X56" s="46">
        <f t="shared" si="6"/>
        <v>19.546199999999999</v>
      </c>
      <c r="Y56" s="94" t="s">
        <v>28</v>
      </c>
      <c r="Z56" s="354"/>
      <c r="AA56" s="37"/>
      <c r="AB56" s="29">
        <v>100</v>
      </c>
      <c r="AC56" s="364"/>
      <c r="AD56" s="36"/>
      <c r="AE56" s="35"/>
      <c r="AF56" s="36">
        <f>X56*AB56/100</f>
        <v>19.546199999999999</v>
      </c>
      <c r="AG56" s="35"/>
      <c r="AH56" s="43">
        <f t="shared" si="7"/>
        <v>0</v>
      </c>
      <c r="AI56" s="82"/>
      <c r="AJ56" s="81"/>
      <c r="AK56" s="81"/>
      <c r="AL56" s="81"/>
      <c r="AM56" s="81"/>
      <c r="AN56" s="81"/>
      <c r="AO56" s="81"/>
      <c r="AP56" s="77"/>
      <c r="AQ56" s="46"/>
      <c r="AR56" s="346"/>
    </row>
    <row r="57" spans="1:44" s="4" customFormat="1" ht="15" customHeight="1" x14ac:dyDescent="0.2">
      <c r="A57" s="32"/>
      <c r="B57" s="32"/>
      <c r="C57" s="32"/>
      <c r="D57" s="32"/>
      <c r="E57" s="32"/>
      <c r="F57" s="32"/>
      <c r="G57" s="32"/>
      <c r="H57" s="32"/>
      <c r="I57" s="38"/>
      <c r="J57" s="32"/>
      <c r="K57" s="32"/>
      <c r="L57" s="32"/>
      <c r="M57" s="32"/>
      <c r="N57" s="29">
        <f>AF57-AE57</f>
        <v>0</v>
      </c>
      <c r="O57" s="38"/>
      <c r="P57" s="38"/>
      <c r="Q57" s="38"/>
      <c r="R57" s="38"/>
      <c r="S57" s="38"/>
      <c r="T57" s="38"/>
      <c r="U57" s="38"/>
      <c r="V57" s="38"/>
      <c r="W57" s="38"/>
      <c r="X57" s="46">
        <f t="shared" si="6"/>
        <v>0</v>
      </c>
      <c r="Y57" s="34" t="s">
        <v>120</v>
      </c>
      <c r="Z57" s="36"/>
      <c r="AA57" s="38"/>
      <c r="AB57" s="29"/>
      <c r="AC57" s="35"/>
      <c r="AD57" s="36">
        <f>-AE57/$D$2%</f>
        <v>0</v>
      </c>
      <c r="AE57" s="379"/>
      <c r="AF57" s="45">
        <f>AE57*AB57%</f>
        <v>0</v>
      </c>
      <c r="AG57" s="33"/>
      <c r="AH57" s="28"/>
      <c r="AI57" s="39"/>
      <c r="AJ57" s="38"/>
      <c r="AK57" s="38"/>
      <c r="AL57" s="38"/>
      <c r="AM57" s="38"/>
      <c r="AN57" s="38"/>
      <c r="AO57" s="38"/>
      <c r="AP57" s="32"/>
      <c r="AQ57" s="33"/>
      <c r="AR57" s="346"/>
    </row>
    <row r="58" spans="1:44" s="4" customFormat="1" ht="15" customHeight="1" x14ac:dyDescent="0.2">
      <c r="A58" s="38"/>
      <c r="B58" s="38"/>
      <c r="C58" s="38"/>
      <c r="D58" s="38"/>
      <c r="E58" s="38"/>
      <c r="F58" s="38"/>
      <c r="G58" s="38"/>
      <c r="H58" s="38"/>
      <c r="I58" s="38"/>
      <c r="J58" s="38"/>
      <c r="K58" s="38"/>
      <c r="L58" s="38"/>
      <c r="M58" s="38"/>
      <c r="N58" s="38"/>
      <c r="O58" s="38"/>
      <c r="P58" s="38"/>
      <c r="Q58" s="38"/>
      <c r="R58" s="38"/>
      <c r="S58" s="38"/>
      <c r="T58" s="38"/>
      <c r="U58" s="38"/>
      <c r="V58" s="38"/>
      <c r="W58" s="38"/>
      <c r="X58" s="46">
        <f t="shared" si="6"/>
        <v>0</v>
      </c>
      <c r="Y58" s="34" t="s">
        <v>118</v>
      </c>
      <c r="Z58" s="36"/>
      <c r="AA58" s="38"/>
      <c r="AB58" s="29"/>
      <c r="AC58" s="35"/>
      <c r="AD58" s="36">
        <f>-AE58/$D$2%</f>
        <v>0</v>
      </c>
      <c r="AE58" s="365"/>
      <c r="AF58" s="354">
        <f>X58*AB58/100</f>
        <v>0</v>
      </c>
      <c r="AG58" s="35"/>
      <c r="AH58" s="28"/>
      <c r="AI58" s="39"/>
      <c r="AJ58" s="38"/>
      <c r="AK58" s="38"/>
      <c r="AL58" s="38"/>
      <c r="AM58" s="38"/>
      <c r="AN58" s="38"/>
      <c r="AO58" s="38"/>
      <c r="AP58" s="32"/>
      <c r="AQ58" s="33"/>
      <c r="AR58" s="346"/>
    </row>
    <row r="59" spans="1:44" s="4" customFormat="1" ht="15" customHeight="1" x14ac:dyDescent="0.2">
      <c r="A59" s="32"/>
      <c r="B59" s="32"/>
      <c r="C59" s="38"/>
      <c r="D59" s="38"/>
      <c r="E59" s="38"/>
      <c r="F59" s="38"/>
      <c r="G59" s="38"/>
      <c r="H59" s="38"/>
      <c r="I59" s="38"/>
      <c r="J59" s="38"/>
      <c r="K59" s="38"/>
      <c r="L59" s="38"/>
      <c r="M59" s="38"/>
      <c r="N59" s="38"/>
      <c r="O59" s="38"/>
      <c r="P59" s="38"/>
      <c r="Q59" s="38"/>
      <c r="R59" s="38"/>
      <c r="S59" s="38"/>
      <c r="T59" s="38"/>
      <c r="U59" s="38"/>
      <c r="V59" s="38"/>
      <c r="W59" s="38"/>
      <c r="X59" s="46">
        <f t="shared" si="6"/>
        <v>0</v>
      </c>
      <c r="Y59" s="34" t="s">
        <v>119</v>
      </c>
      <c r="Z59" s="36"/>
      <c r="AA59" s="38"/>
      <c r="AB59" s="38"/>
      <c r="AC59" s="35"/>
      <c r="AD59" s="36"/>
      <c r="AE59" s="35"/>
      <c r="AF59" s="36">
        <f>X59*AB59/100</f>
        <v>0</v>
      </c>
      <c r="AG59" s="35"/>
      <c r="AH59" s="28"/>
      <c r="AI59" s="39"/>
      <c r="AJ59" s="38"/>
      <c r="AK59" s="38"/>
      <c r="AL59" s="38"/>
      <c r="AM59" s="38"/>
      <c r="AN59" s="38"/>
      <c r="AO59" s="38"/>
      <c r="AP59" s="32"/>
      <c r="AQ59" s="33"/>
      <c r="AR59" s="346"/>
    </row>
    <row r="60" spans="1:44" ht="15" customHeight="1" x14ac:dyDescent="0.2">
      <c r="A60" s="32"/>
      <c r="B60" s="32"/>
      <c r="C60" s="253"/>
      <c r="D60" s="253"/>
      <c r="E60" s="253"/>
      <c r="F60" s="253"/>
      <c r="G60" s="253"/>
      <c r="H60" s="253"/>
      <c r="I60" s="380"/>
      <c r="J60" s="253"/>
      <c r="K60" s="253"/>
      <c r="L60" s="29"/>
      <c r="M60" s="253"/>
      <c r="N60" s="37"/>
      <c r="O60" s="37"/>
      <c r="P60" s="37"/>
      <c r="Q60" s="37"/>
      <c r="R60" s="37"/>
      <c r="S60" s="37"/>
      <c r="T60" s="37"/>
      <c r="U60" s="37"/>
      <c r="V60" s="37"/>
      <c r="W60" s="37"/>
      <c r="X60" s="46">
        <f>SUM(A60:W60)</f>
        <v>0</v>
      </c>
      <c r="Y60" s="27" t="s">
        <v>241</v>
      </c>
      <c r="Z60" s="354"/>
      <c r="AA60" s="37"/>
      <c r="AB60" s="29"/>
      <c r="AC60" s="364"/>
      <c r="AD60" s="36"/>
      <c r="AE60" s="35"/>
      <c r="AF60" s="36">
        <f>X60*AB60/100</f>
        <v>0</v>
      </c>
      <c r="AG60" s="35"/>
      <c r="AH60" s="43">
        <f t="shared" si="7"/>
        <v>0</v>
      </c>
      <c r="AI60" s="82"/>
      <c r="AJ60" s="81"/>
      <c r="AK60" s="81"/>
      <c r="AL60" s="81"/>
      <c r="AM60" s="81"/>
      <c r="AN60" s="81"/>
      <c r="AO60" s="81"/>
      <c r="AP60" s="77"/>
      <c r="AQ60" s="46"/>
      <c r="AR60" s="346"/>
    </row>
    <row r="61" spans="1:44" ht="15" customHeight="1" x14ac:dyDescent="0.2">
      <c r="A61" s="31"/>
      <c r="B61" s="32"/>
      <c r="C61" s="253"/>
      <c r="D61" s="253"/>
      <c r="E61" s="253"/>
      <c r="F61" s="253"/>
      <c r="G61" s="253"/>
      <c r="H61" s="253"/>
      <c r="I61" s="253"/>
      <c r="J61" s="253"/>
      <c r="K61" s="253"/>
      <c r="L61" s="253"/>
      <c r="M61" s="253"/>
      <c r="N61" s="37"/>
      <c r="O61" s="37"/>
      <c r="P61" s="37"/>
      <c r="Q61" s="37"/>
      <c r="R61" s="37"/>
      <c r="S61" s="37"/>
      <c r="T61" s="37"/>
      <c r="U61" s="37"/>
      <c r="V61" s="37"/>
      <c r="W61" s="37"/>
      <c r="X61" s="46">
        <f>SUM(A61:W61)</f>
        <v>0</v>
      </c>
      <c r="Y61" s="94" t="s">
        <v>37</v>
      </c>
      <c r="Z61" s="354"/>
      <c r="AA61" s="37"/>
      <c r="AB61" s="37"/>
      <c r="AC61" s="364"/>
      <c r="AD61" s="36">
        <f>X61*Z61%</f>
        <v>0</v>
      </c>
      <c r="AE61" s="35"/>
      <c r="AF61" s="36">
        <f>X61*AB61%</f>
        <v>0</v>
      </c>
      <c r="AG61" s="35"/>
      <c r="AH61" s="43">
        <f t="shared" si="7"/>
        <v>0</v>
      </c>
      <c r="AI61" s="82"/>
      <c r="AJ61" s="81"/>
      <c r="AK61" s="81"/>
      <c r="AL61" s="81"/>
      <c r="AM61" s="81"/>
      <c r="AN61" s="81"/>
      <c r="AO61" s="81"/>
      <c r="AP61" s="77"/>
      <c r="AQ61" s="46"/>
      <c r="AR61" s="346"/>
    </row>
    <row r="62" spans="1:44" ht="15" customHeight="1" x14ac:dyDescent="0.2">
      <c r="A62" s="32"/>
      <c r="B62" s="32"/>
      <c r="C62" s="253"/>
      <c r="D62" s="253"/>
      <c r="E62" s="253"/>
      <c r="F62" s="253"/>
      <c r="G62" s="253"/>
      <c r="H62" s="253"/>
      <c r="I62" s="380"/>
      <c r="J62" s="253"/>
      <c r="K62" s="253"/>
      <c r="L62" s="253"/>
      <c r="M62" s="253"/>
      <c r="N62" s="37"/>
      <c r="O62" s="253"/>
      <c r="P62" s="253"/>
      <c r="Q62" s="253"/>
      <c r="R62" s="253"/>
      <c r="S62" s="253"/>
      <c r="T62" s="253"/>
      <c r="U62" s="253"/>
      <c r="V62" s="253"/>
      <c r="W62" s="253"/>
      <c r="X62" s="46">
        <f t="shared" ref="X62:X80" si="8">SUM(A62:W62)</f>
        <v>0</v>
      </c>
      <c r="Y62" s="27" t="s">
        <v>115</v>
      </c>
      <c r="Z62" s="354"/>
      <c r="AA62" s="37"/>
      <c r="AB62" s="37"/>
      <c r="AC62" s="365">
        <v>75</v>
      </c>
      <c r="AD62" s="36"/>
      <c r="AE62" s="35"/>
      <c r="AF62" s="374">
        <f>-SUM(AF56:AF61)</f>
        <v>-19.546199999999999</v>
      </c>
      <c r="AG62" s="35">
        <f>-AF62*AC62/100</f>
        <v>14.659649999999999</v>
      </c>
      <c r="AH62" s="43">
        <f t="shared" si="7"/>
        <v>14.674309650000001</v>
      </c>
      <c r="AI62" s="30">
        <f>AG62*65.2%</f>
        <v>9.5580917999999997</v>
      </c>
      <c r="AJ62" s="30">
        <f>AG62*9.9%</f>
        <v>1.4513053499999999</v>
      </c>
      <c r="AK62" s="29">
        <f>AG62*13.3%</f>
        <v>1.9497334500000001</v>
      </c>
      <c r="AL62" s="29">
        <f>AG62*7%</f>
        <v>1.0261755000000001</v>
      </c>
      <c r="AM62" s="29">
        <f>AG62*0%</f>
        <v>0</v>
      </c>
      <c r="AN62" s="29">
        <f>AG62*3.2%</f>
        <v>0.46910879999999999</v>
      </c>
      <c r="AO62" s="29">
        <f>AG62*1.5%</f>
        <v>0.21989474999999997</v>
      </c>
      <c r="AP62" s="77"/>
      <c r="AQ62" s="46"/>
      <c r="AR62" s="346"/>
    </row>
    <row r="63" spans="1:44" ht="15" customHeight="1" x14ac:dyDescent="0.2">
      <c r="A63" s="32"/>
      <c r="B63" s="32"/>
      <c r="C63" s="253"/>
      <c r="D63" s="29"/>
      <c r="E63" s="253"/>
      <c r="F63" s="253"/>
      <c r="G63" s="253"/>
      <c r="H63" s="253"/>
      <c r="I63" s="37"/>
      <c r="J63" s="253"/>
      <c r="K63" s="253"/>
      <c r="L63" s="253"/>
      <c r="M63" s="253"/>
      <c r="N63" s="37"/>
      <c r="O63" s="253"/>
      <c r="P63" s="29"/>
      <c r="Q63" s="253"/>
      <c r="R63" s="253"/>
      <c r="S63" s="29"/>
      <c r="T63" s="253"/>
      <c r="U63" s="29"/>
      <c r="V63" s="253"/>
      <c r="W63" s="29"/>
      <c r="X63" s="46">
        <f t="shared" si="8"/>
        <v>0</v>
      </c>
      <c r="Y63" s="94" t="s">
        <v>20</v>
      </c>
      <c r="Z63" s="366"/>
      <c r="AA63" s="37"/>
      <c r="AB63" s="29"/>
      <c r="AC63" s="364"/>
      <c r="AD63" s="31">
        <f t="shared" ref="AD63:AD68" si="9">Z63/100*X63</f>
        <v>0</v>
      </c>
      <c r="AE63" s="33"/>
      <c r="AF63" s="31">
        <f t="shared" ref="AF63:AF67" si="10">X63*AB63/100</f>
        <v>0</v>
      </c>
      <c r="AG63" s="33"/>
      <c r="AH63" s="43">
        <f t="shared" si="7"/>
        <v>0</v>
      </c>
      <c r="AI63" s="82"/>
      <c r="AJ63" s="81"/>
      <c r="AK63" s="81"/>
      <c r="AL63" s="81"/>
      <c r="AM63" s="81"/>
      <c r="AN63" s="81"/>
      <c r="AO63" s="81"/>
      <c r="AP63" s="77"/>
      <c r="AQ63" s="46"/>
      <c r="AR63" s="346"/>
    </row>
    <row r="64" spans="1:44" ht="15" customHeight="1" x14ac:dyDescent="0.2">
      <c r="A64" s="32"/>
      <c r="B64" s="32"/>
      <c r="C64" s="253"/>
      <c r="D64" s="253"/>
      <c r="E64" s="253"/>
      <c r="F64" s="253"/>
      <c r="G64" s="253"/>
      <c r="H64" s="253"/>
      <c r="I64" s="29"/>
      <c r="J64" s="253"/>
      <c r="K64" s="253"/>
      <c r="L64" s="253"/>
      <c r="M64" s="253"/>
      <c r="N64" s="37"/>
      <c r="O64" s="29"/>
      <c r="P64" s="37"/>
      <c r="Q64" s="37"/>
      <c r="R64" s="37"/>
      <c r="S64" s="37"/>
      <c r="T64" s="29"/>
      <c r="U64" s="253"/>
      <c r="V64" s="253"/>
      <c r="W64" s="253"/>
      <c r="X64" s="46">
        <f t="shared" si="8"/>
        <v>0</v>
      </c>
      <c r="Y64" s="94" t="s">
        <v>21</v>
      </c>
      <c r="Z64" s="366"/>
      <c r="AA64" s="37"/>
      <c r="AB64" s="29"/>
      <c r="AC64" s="364"/>
      <c r="AD64" s="31">
        <f t="shared" si="9"/>
        <v>0</v>
      </c>
      <c r="AE64" s="33"/>
      <c r="AF64" s="31">
        <f t="shared" si="10"/>
        <v>0</v>
      </c>
      <c r="AG64" s="33"/>
      <c r="AH64" s="43">
        <f t="shared" si="7"/>
        <v>0</v>
      </c>
      <c r="AI64" s="82"/>
      <c r="AJ64" s="81"/>
      <c r="AK64" s="81"/>
      <c r="AL64" s="81"/>
      <c r="AM64" s="81"/>
      <c r="AN64" s="81"/>
      <c r="AO64" s="81"/>
      <c r="AP64" s="77"/>
      <c r="AQ64" s="46"/>
      <c r="AR64" s="346"/>
    </row>
    <row r="65" spans="1:44" ht="15" customHeight="1" x14ac:dyDescent="0.2">
      <c r="A65" s="32"/>
      <c r="B65" s="32"/>
      <c r="C65" s="253"/>
      <c r="D65" s="253"/>
      <c r="E65" s="29"/>
      <c r="F65" s="253"/>
      <c r="G65" s="253"/>
      <c r="H65" s="253"/>
      <c r="I65" s="29"/>
      <c r="J65" s="253"/>
      <c r="K65" s="253"/>
      <c r="L65" s="253"/>
      <c r="M65" s="253"/>
      <c r="N65" s="37"/>
      <c r="O65" s="253"/>
      <c r="P65" s="253"/>
      <c r="Q65" s="253"/>
      <c r="R65" s="253"/>
      <c r="S65" s="253"/>
      <c r="T65" s="253"/>
      <c r="U65" s="253"/>
      <c r="V65" s="253"/>
      <c r="W65" s="253"/>
      <c r="X65" s="46">
        <f t="shared" si="8"/>
        <v>0</v>
      </c>
      <c r="Y65" s="94" t="s">
        <v>22</v>
      </c>
      <c r="Z65" s="366"/>
      <c r="AA65" s="37"/>
      <c r="AB65" s="29"/>
      <c r="AC65" s="364"/>
      <c r="AD65" s="31">
        <f>Z65/100*X65</f>
        <v>0</v>
      </c>
      <c r="AE65" s="33"/>
      <c r="AF65" s="31">
        <f>X65*AB65/100</f>
        <v>0</v>
      </c>
      <c r="AG65" s="33"/>
      <c r="AH65" s="43">
        <f t="shared" si="7"/>
        <v>0</v>
      </c>
      <c r="AI65" s="82"/>
      <c r="AJ65" s="81"/>
      <c r="AK65" s="81"/>
      <c r="AL65" s="81"/>
      <c r="AM65" s="81"/>
      <c r="AN65" s="81"/>
      <c r="AO65" s="81"/>
      <c r="AP65" s="77"/>
      <c r="AQ65" s="46"/>
      <c r="AR65" s="346"/>
    </row>
    <row r="66" spans="1:44" ht="15" customHeight="1" x14ac:dyDescent="0.2">
      <c r="A66" s="32"/>
      <c r="B66" s="32"/>
      <c r="C66" s="38"/>
      <c r="D66" s="38"/>
      <c r="E66" s="29"/>
      <c r="F66" s="38"/>
      <c r="G66" s="38"/>
      <c r="H66" s="38"/>
      <c r="I66" s="29"/>
      <c r="J66" s="32"/>
      <c r="K66" s="32"/>
      <c r="L66" s="32"/>
      <c r="M66" s="32"/>
      <c r="N66" s="38"/>
      <c r="O66" s="29"/>
      <c r="P66" s="38"/>
      <c r="Q66" s="38"/>
      <c r="R66" s="29"/>
      <c r="S66" s="29"/>
      <c r="T66" s="29"/>
      <c r="U66" s="29"/>
      <c r="V66" s="38"/>
      <c r="W66" s="29"/>
      <c r="X66" s="46">
        <f t="shared" si="8"/>
        <v>0</v>
      </c>
      <c r="Y66" s="94" t="s">
        <v>23</v>
      </c>
      <c r="Z66" s="354"/>
      <c r="AA66" s="37"/>
      <c r="AB66" s="29"/>
      <c r="AC66" s="364"/>
      <c r="AD66" s="31">
        <f t="shared" si="9"/>
        <v>0</v>
      </c>
      <c r="AE66" s="33"/>
      <c r="AF66" s="31">
        <f t="shared" si="10"/>
        <v>0</v>
      </c>
      <c r="AG66" s="33"/>
      <c r="AH66" s="43">
        <f t="shared" si="7"/>
        <v>0</v>
      </c>
      <c r="AI66" s="82"/>
      <c r="AJ66" s="81"/>
      <c r="AK66" s="81"/>
      <c r="AL66" s="81"/>
      <c r="AM66" s="81"/>
      <c r="AN66" s="81"/>
      <c r="AO66" s="81"/>
      <c r="AP66" s="77"/>
      <c r="AQ66" s="46"/>
      <c r="AR66" s="346"/>
    </row>
    <row r="67" spans="1:44" ht="15" customHeight="1" x14ac:dyDescent="0.2">
      <c r="A67" s="32"/>
      <c r="B67" s="32"/>
      <c r="C67" s="38"/>
      <c r="D67" s="38"/>
      <c r="E67" s="38"/>
      <c r="F67" s="38"/>
      <c r="G67" s="38"/>
      <c r="H67" s="38"/>
      <c r="I67" s="38"/>
      <c r="J67" s="32"/>
      <c r="K67" s="32"/>
      <c r="L67" s="32"/>
      <c r="M67" s="32"/>
      <c r="N67" s="38"/>
      <c r="O67" s="32"/>
      <c r="P67" s="38"/>
      <c r="Q67" s="32"/>
      <c r="R67" s="32"/>
      <c r="S67" s="32"/>
      <c r="T67" s="32"/>
      <c r="U67" s="32"/>
      <c r="V67" s="38"/>
      <c r="W67" s="32"/>
      <c r="X67" s="46">
        <f t="shared" si="8"/>
        <v>0</v>
      </c>
      <c r="Y67" s="94" t="s">
        <v>24</v>
      </c>
      <c r="Z67" s="354"/>
      <c r="AA67" s="37"/>
      <c r="AB67" s="37"/>
      <c r="AC67" s="364"/>
      <c r="AD67" s="31">
        <f t="shared" si="9"/>
        <v>0</v>
      </c>
      <c r="AE67" s="33"/>
      <c r="AF67" s="31">
        <f t="shared" si="10"/>
        <v>0</v>
      </c>
      <c r="AG67" s="33"/>
      <c r="AH67" s="43">
        <f t="shared" si="7"/>
        <v>0</v>
      </c>
      <c r="AI67" s="82"/>
      <c r="AJ67" s="81"/>
      <c r="AK67" s="81"/>
      <c r="AL67" s="81"/>
      <c r="AM67" s="81"/>
      <c r="AN67" s="81"/>
      <c r="AO67" s="81"/>
      <c r="AP67" s="77"/>
      <c r="AQ67" s="46"/>
      <c r="AR67" s="346"/>
    </row>
    <row r="68" spans="1:44" ht="15" customHeight="1" x14ac:dyDescent="0.2">
      <c r="A68" s="32"/>
      <c r="B68" s="32"/>
      <c r="C68" s="38"/>
      <c r="D68" s="38"/>
      <c r="E68" s="38"/>
      <c r="F68" s="38"/>
      <c r="G68" s="38"/>
      <c r="H68" s="38"/>
      <c r="I68" s="38"/>
      <c r="J68" s="32"/>
      <c r="K68" s="32"/>
      <c r="L68" s="32"/>
      <c r="M68" s="32"/>
      <c r="N68" s="38"/>
      <c r="O68" s="32"/>
      <c r="P68" s="38"/>
      <c r="Q68" s="32"/>
      <c r="R68" s="29"/>
      <c r="S68" s="38"/>
      <c r="T68" s="32"/>
      <c r="U68" s="32"/>
      <c r="V68" s="38"/>
      <c r="W68" s="32"/>
      <c r="X68" s="46">
        <f t="shared" si="8"/>
        <v>0</v>
      </c>
      <c r="Y68" s="94" t="s">
        <v>25</v>
      </c>
      <c r="Z68" s="354"/>
      <c r="AA68" s="37"/>
      <c r="AB68" s="37">
        <v>100</v>
      </c>
      <c r="AC68" s="364"/>
      <c r="AD68" s="31">
        <f t="shared" si="9"/>
        <v>0</v>
      </c>
      <c r="AE68" s="365"/>
      <c r="AF68" s="36"/>
      <c r="AG68" s="33"/>
      <c r="AH68" s="43">
        <f t="shared" si="7"/>
        <v>0</v>
      </c>
      <c r="AI68" s="82"/>
      <c r="AJ68" s="81"/>
      <c r="AK68" s="81"/>
      <c r="AL68" s="81"/>
      <c r="AM68" s="81"/>
      <c r="AN68" s="81"/>
      <c r="AO68" s="81"/>
      <c r="AP68" s="77"/>
      <c r="AQ68" s="46"/>
      <c r="AR68" s="346"/>
    </row>
    <row r="69" spans="1:44" ht="15" customHeight="1" x14ac:dyDescent="0.2">
      <c r="A69" s="32"/>
      <c r="B69" s="32"/>
      <c r="C69" s="32"/>
      <c r="D69" s="32"/>
      <c r="E69" s="32"/>
      <c r="F69" s="32"/>
      <c r="G69" s="32"/>
      <c r="H69" s="32"/>
      <c r="I69" s="32"/>
      <c r="J69" s="32"/>
      <c r="K69" s="32"/>
      <c r="L69" s="32"/>
      <c r="M69" s="32"/>
      <c r="N69" s="32"/>
      <c r="O69" s="32"/>
      <c r="P69" s="32"/>
      <c r="Q69" s="32"/>
      <c r="R69" s="32"/>
      <c r="S69" s="32"/>
      <c r="T69" s="32"/>
      <c r="U69" s="32"/>
      <c r="V69" s="38"/>
      <c r="W69" s="32"/>
      <c r="X69" s="46">
        <f t="shared" si="8"/>
        <v>0</v>
      </c>
      <c r="Y69" s="96" t="s">
        <v>26</v>
      </c>
      <c r="Z69" s="374"/>
      <c r="AA69" s="253"/>
      <c r="AB69" s="253"/>
      <c r="AC69" s="377"/>
      <c r="AD69" s="31">
        <f>-AE69</f>
        <v>0</v>
      </c>
      <c r="AE69" s="364"/>
      <c r="AF69" s="354"/>
      <c r="AG69" s="33"/>
      <c r="AH69" s="43">
        <f t="shared" si="7"/>
        <v>0</v>
      </c>
      <c r="AI69" s="82"/>
      <c r="AJ69" s="81"/>
      <c r="AK69" s="81"/>
      <c r="AL69" s="81"/>
      <c r="AM69" s="81"/>
      <c r="AN69" s="81">
        <f>AE69</f>
        <v>0</v>
      </c>
      <c r="AO69" s="81"/>
      <c r="AP69" s="77"/>
      <c r="AQ69" s="46"/>
      <c r="AR69" s="346"/>
    </row>
    <row r="70" spans="1:44"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46">
        <f t="shared" si="8"/>
        <v>0</v>
      </c>
      <c r="Y70" s="96" t="s">
        <v>27</v>
      </c>
      <c r="Z70" s="374"/>
      <c r="AA70" s="253"/>
      <c r="AB70" s="253"/>
      <c r="AC70" s="364"/>
      <c r="AD70" s="31"/>
      <c r="AE70" s="364"/>
      <c r="AF70" s="354"/>
      <c r="AG70" s="180"/>
      <c r="AH70" s="43">
        <f t="shared" si="7"/>
        <v>0</v>
      </c>
      <c r="AI70" s="82"/>
      <c r="AJ70" s="81"/>
      <c r="AK70" s="81"/>
      <c r="AL70" s="81"/>
      <c r="AM70" s="81"/>
      <c r="AN70" s="81">
        <f>-AF70</f>
        <v>0</v>
      </c>
      <c r="AO70" s="81"/>
      <c r="AP70" s="77"/>
      <c r="AQ70" s="46"/>
      <c r="AR70" s="346"/>
    </row>
    <row r="71" spans="1:44" ht="15" customHeight="1" x14ac:dyDescent="0.2">
      <c r="A71" s="32"/>
      <c r="B71" s="32"/>
      <c r="C71" s="32"/>
      <c r="D71" s="32"/>
      <c r="E71" s="32"/>
      <c r="F71" s="32"/>
      <c r="G71" s="32"/>
      <c r="H71" s="32"/>
      <c r="I71" s="32"/>
      <c r="J71" s="32"/>
      <c r="K71" s="32"/>
      <c r="L71" s="32"/>
      <c r="M71" s="32"/>
      <c r="N71" s="32"/>
      <c r="O71" s="32"/>
      <c r="P71" s="38"/>
      <c r="Q71" s="32"/>
      <c r="R71" s="32"/>
      <c r="S71" s="32"/>
      <c r="T71" s="32"/>
      <c r="U71" s="32"/>
      <c r="V71" s="32"/>
      <c r="W71" s="32"/>
      <c r="X71" s="46">
        <f t="shared" si="8"/>
        <v>0</v>
      </c>
      <c r="Y71" s="27" t="s">
        <v>67</v>
      </c>
      <c r="Z71" s="374"/>
      <c r="AA71" s="253"/>
      <c r="AB71" s="253"/>
      <c r="AC71" s="365">
        <v>75</v>
      </c>
      <c r="AD71" s="31"/>
      <c r="AE71" s="33"/>
      <c r="AF71" s="31">
        <f>-SUM(AF63:AF70)</f>
        <v>0</v>
      </c>
      <c r="AG71" s="33">
        <f>-AF71*AC71/100</f>
        <v>0</v>
      </c>
      <c r="AH71" s="43">
        <f t="shared" si="7"/>
        <v>0</v>
      </c>
      <c r="AI71" s="30">
        <f>AG71*65.2%</f>
        <v>0</v>
      </c>
      <c r="AJ71" s="30">
        <f>AG71*9.9%</f>
        <v>0</v>
      </c>
      <c r="AK71" s="29">
        <f>AG71*13.3%</f>
        <v>0</v>
      </c>
      <c r="AL71" s="29">
        <f>AG71*7%</f>
        <v>0</v>
      </c>
      <c r="AM71" s="29">
        <f>AG71*0%</f>
        <v>0</v>
      </c>
      <c r="AN71" s="29">
        <f>AG71*3.2%</f>
        <v>0</v>
      </c>
      <c r="AO71" s="29">
        <f>AG71*1.5%</f>
        <v>0</v>
      </c>
      <c r="AP71" s="77"/>
      <c r="AQ71" s="46"/>
      <c r="AR71" s="346"/>
    </row>
    <row r="72" spans="1:44" ht="15" customHeight="1" x14ac:dyDescent="0.2">
      <c r="A72" s="76"/>
      <c r="B72" s="77"/>
      <c r="C72" s="77"/>
      <c r="D72" s="77"/>
      <c r="E72" s="81"/>
      <c r="F72" s="81"/>
      <c r="G72" s="81"/>
      <c r="H72" s="219">
        <f>18.62*(1+O96)*(1-O107)</f>
        <v>3.7906595999999997</v>
      </c>
      <c r="I72" s="81"/>
      <c r="J72" s="81"/>
      <c r="K72" s="81"/>
      <c r="L72" s="81"/>
      <c r="M72" s="81"/>
      <c r="N72" s="81"/>
      <c r="O72" s="81"/>
      <c r="P72" s="230">
        <f>18.62*(1+O96)*(O107)</f>
        <v>0.2312604</v>
      </c>
      <c r="Q72" s="81"/>
      <c r="R72" s="81"/>
      <c r="S72" s="77"/>
      <c r="T72" s="77"/>
      <c r="U72" s="77"/>
      <c r="V72" s="77"/>
      <c r="W72" s="77"/>
      <c r="X72" s="46">
        <f t="shared" si="8"/>
        <v>4.0219199999999997</v>
      </c>
      <c r="Y72" s="27" t="s">
        <v>68</v>
      </c>
      <c r="Z72" s="31"/>
      <c r="AA72" s="32">
        <v>20</v>
      </c>
      <c r="AB72" s="32"/>
      <c r="AC72" s="33"/>
      <c r="AD72" s="31"/>
      <c r="AE72" s="33"/>
      <c r="AF72" s="31"/>
      <c r="AG72" s="33"/>
      <c r="AH72" s="43">
        <f t="shared" si="7"/>
        <v>0.80438399999999999</v>
      </c>
      <c r="AI72" s="82"/>
      <c r="AJ72" s="81"/>
      <c r="AK72" s="81"/>
      <c r="AL72" s="81"/>
      <c r="AM72" s="81"/>
      <c r="AN72" s="81"/>
      <c r="AO72" s="81"/>
      <c r="AP72" s="77"/>
      <c r="AQ72" s="46">
        <f>X72*AA72/100</f>
        <v>0.80438399999999999</v>
      </c>
      <c r="AR72" s="346"/>
    </row>
    <row r="73" spans="1:44" ht="15" customHeight="1" x14ac:dyDescent="0.2">
      <c r="A73" s="76"/>
      <c r="B73" s="77"/>
      <c r="C73" s="77"/>
      <c r="D73" s="77"/>
      <c r="E73" s="81"/>
      <c r="F73" s="219">
        <f>14.66*(1+O97)*(1-$O$108)</f>
        <v>2.7256165199999995</v>
      </c>
      <c r="G73" s="81"/>
      <c r="H73" s="81"/>
      <c r="I73" s="81"/>
      <c r="J73" s="81"/>
      <c r="K73" s="81"/>
      <c r="L73" s="81"/>
      <c r="M73" s="81"/>
      <c r="N73" s="81"/>
      <c r="O73" s="81"/>
      <c r="P73" s="230">
        <f>14.66*(1+O97)*($O$108)</f>
        <v>0.17706347999999994</v>
      </c>
      <c r="Q73" s="81"/>
      <c r="R73" s="77"/>
      <c r="S73" s="77"/>
      <c r="T73" s="77"/>
      <c r="U73" s="77"/>
      <c r="V73" s="77"/>
      <c r="W73" s="77"/>
      <c r="X73" s="46">
        <f t="shared" si="8"/>
        <v>2.9026799999999993</v>
      </c>
      <c r="Y73" s="27" t="s">
        <v>69</v>
      </c>
      <c r="Z73" s="31"/>
      <c r="AA73" s="32">
        <v>25</v>
      </c>
      <c r="AB73" s="32"/>
      <c r="AC73" s="33"/>
      <c r="AD73" s="31"/>
      <c r="AE73" s="33"/>
      <c r="AF73" s="31"/>
      <c r="AG73" s="33"/>
      <c r="AH73" s="43">
        <f t="shared" si="7"/>
        <v>0.72566999999999982</v>
      </c>
      <c r="AI73" s="93"/>
      <c r="AJ73" s="77"/>
      <c r="AK73" s="77"/>
      <c r="AL73" s="77"/>
      <c r="AM73" s="77"/>
      <c r="AN73" s="77"/>
      <c r="AO73" s="77"/>
      <c r="AP73" s="77"/>
      <c r="AQ73" s="46">
        <f>X73*AA73/100</f>
        <v>0.72566999999999982</v>
      </c>
      <c r="AR73" s="346"/>
    </row>
    <row r="74" spans="1:44" ht="15" customHeight="1" x14ac:dyDescent="0.2">
      <c r="A74" s="31"/>
      <c r="B74" s="77"/>
      <c r="C74" s="77"/>
      <c r="D74" s="77"/>
      <c r="E74" s="81"/>
      <c r="F74" s="219">
        <f>14.07*(1+O99)*(1-$O$108)</f>
        <v>12.870867366000001</v>
      </c>
      <c r="G74" s="81"/>
      <c r="H74" s="81"/>
      <c r="I74" s="81"/>
      <c r="J74" s="81"/>
      <c r="K74" s="81"/>
      <c r="L74" s="81"/>
      <c r="M74" s="81"/>
      <c r="N74" s="81"/>
      <c r="O74" s="81"/>
      <c r="P74" s="230">
        <f>14.07*(1+O99)*($O$108)</f>
        <v>0.83612663399999998</v>
      </c>
      <c r="Q74" s="81"/>
      <c r="R74" s="77"/>
      <c r="S74" s="77"/>
      <c r="T74" s="77"/>
      <c r="U74" s="77"/>
      <c r="V74" s="77"/>
      <c r="W74" s="77"/>
      <c r="X74" s="46">
        <f t="shared" si="8"/>
        <v>13.706994</v>
      </c>
      <c r="Y74" s="34" t="s">
        <v>121</v>
      </c>
      <c r="Z74" s="31"/>
      <c r="AA74" s="32">
        <v>25</v>
      </c>
      <c r="AB74" s="32"/>
      <c r="AC74" s="33"/>
      <c r="AD74" s="31"/>
      <c r="AE74" s="33"/>
      <c r="AF74" s="31"/>
      <c r="AG74" s="33"/>
      <c r="AH74" s="28">
        <f t="shared" si="7"/>
        <v>3.4267485</v>
      </c>
      <c r="AI74" s="42"/>
      <c r="AJ74" s="32"/>
      <c r="AK74" s="32"/>
      <c r="AL74" s="32"/>
      <c r="AM74" s="32"/>
      <c r="AN74" s="32"/>
      <c r="AO74" s="32"/>
      <c r="AP74" s="32"/>
      <c r="AQ74" s="33">
        <f>X74*AA74/100</f>
        <v>3.4267485</v>
      </c>
      <c r="AR74" s="346"/>
    </row>
    <row r="75" spans="1:44" ht="15" customHeight="1" x14ac:dyDescent="0.2">
      <c r="A75" s="76"/>
      <c r="B75" s="77"/>
      <c r="C75" s="77"/>
      <c r="D75" s="77"/>
      <c r="E75" s="81"/>
      <c r="F75" s="219">
        <f>1.27*(1+O100)*(1-$O$108)</f>
        <v>1.020090162</v>
      </c>
      <c r="G75" s="81"/>
      <c r="H75" s="81"/>
      <c r="I75" s="81"/>
      <c r="J75" s="81"/>
      <c r="K75" s="81"/>
      <c r="L75" s="81"/>
      <c r="M75" s="81"/>
      <c r="N75" s="81"/>
      <c r="O75" s="81"/>
      <c r="P75" s="219">
        <f>1.27*(1+O100)*($O$108)</f>
        <v>6.6267837999999996E-2</v>
      </c>
      <c r="Q75" s="81"/>
      <c r="R75" s="77"/>
      <c r="S75" s="77"/>
      <c r="T75" s="77"/>
      <c r="U75" s="77"/>
      <c r="V75" s="77"/>
      <c r="W75" s="77"/>
      <c r="X75" s="46">
        <f t="shared" si="8"/>
        <v>1.0863579999999999</v>
      </c>
      <c r="Y75" s="94" t="s">
        <v>9</v>
      </c>
      <c r="Z75" s="31"/>
      <c r="AA75" s="32">
        <v>33</v>
      </c>
      <c r="AB75" s="32"/>
      <c r="AC75" s="33"/>
      <c r="AD75" s="31"/>
      <c r="AE75" s="33"/>
      <c r="AF75" s="31"/>
      <c r="AG75" s="33"/>
      <c r="AH75" s="43">
        <f t="shared" si="7"/>
        <v>0.35849813999999997</v>
      </c>
      <c r="AI75" s="93"/>
      <c r="AJ75" s="77"/>
      <c r="AK75" s="77"/>
      <c r="AL75" s="77"/>
      <c r="AM75" s="77"/>
      <c r="AN75" s="77"/>
      <c r="AO75" s="77"/>
      <c r="AP75" s="77"/>
      <c r="AQ75" s="46">
        <f>X75*AA75/100</f>
        <v>0.35849813999999997</v>
      </c>
      <c r="AR75" s="346"/>
    </row>
    <row r="76" spans="1:44" ht="15" customHeight="1" x14ac:dyDescent="0.2">
      <c r="A76" s="76"/>
      <c r="B76" s="77"/>
      <c r="C76" s="77"/>
      <c r="D76" s="77"/>
      <c r="E76" s="81"/>
      <c r="F76" s="219">
        <f>19.63*(1+O101)*(1-$O$108)</f>
        <v>17.719229541000001</v>
      </c>
      <c r="G76" s="81"/>
      <c r="H76" s="81"/>
      <c r="I76" s="81"/>
      <c r="J76" s="81"/>
      <c r="K76" s="81"/>
      <c r="L76" s="81"/>
      <c r="M76" s="81"/>
      <c r="N76" s="81"/>
      <c r="O76" s="81"/>
      <c r="P76" s="219">
        <f>19.63*(1+O101)*($O$108)</f>
        <v>1.1510894589999998</v>
      </c>
      <c r="Q76" s="81"/>
      <c r="R76" s="77"/>
      <c r="S76" s="77"/>
      <c r="T76" s="77"/>
      <c r="U76" s="77"/>
      <c r="V76" s="77"/>
      <c r="W76" s="77"/>
      <c r="X76" s="46">
        <f t="shared" si="8"/>
        <v>18.870319000000002</v>
      </c>
      <c r="Y76" s="27" t="s">
        <v>70</v>
      </c>
      <c r="Z76" s="31"/>
      <c r="AA76" s="32">
        <v>33</v>
      </c>
      <c r="AB76" s="32"/>
      <c r="AC76" s="33"/>
      <c r="AD76" s="31"/>
      <c r="AE76" s="33"/>
      <c r="AF76" s="31"/>
      <c r="AG76" s="33"/>
      <c r="AH76" s="43">
        <f t="shared" si="7"/>
        <v>6.2272052700000007</v>
      </c>
      <c r="AI76" s="93"/>
      <c r="AJ76" s="77"/>
      <c r="AK76" s="77"/>
      <c r="AL76" s="77"/>
      <c r="AM76" s="77"/>
      <c r="AN76" s="77"/>
      <c r="AO76" s="77"/>
      <c r="AP76" s="77"/>
      <c r="AQ76" s="46">
        <f>X76*AA76/100</f>
        <v>6.2272052700000007</v>
      </c>
      <c r="AR76" s="346"/>
    </row>
    <row r="77" spans="1:44" ht="15" customHeight="1" x14ac:dyDescent="0.2">
      <c r="A77" s="76"/>
      <c r="B77" s="77"/>
      <c r="C77" s="77"/>
      <c r="D77" s="77"/>
      <c r="E77" s="81"/>
      <c r="F77" s="29">
        <v>7.43</v>
      </c>
      <c r="G77" s="81"/>
      <c r="H77" s="81"/>
      <c r="I77" s="81"/>
      <c r="J77" s="81"/>
      <c r="K77" s="81"/>
      <c r="L77" s="81"/>
      <c r="M77" s="81"/>
      <c r="N77" s="81"/>
      <c r="O77" s="81"/>
      <c r="P77" s="81"/>
      <c r="Q77" s="81"/>
      <c r="R77" s="77"/>
      <c r="S77" s="77"/>
      <c r="T77" s="77"/>
      <c r="U77" s="77"/>
      <c r="V77" s="77"/>
      <c r="W77" s="77"/>
      <c r="X77" s="46">
        <f t="shared" si="8"/>
        <v>7.43</v>
      </c>
      <c r="Y77" s="34" t="s">
        <v>242</v>
      </c>
      <c r="Z77" s="31"/>
      <c r="AA77" s="32">
        <v>33</v>
      </c>
      <c r="AB77" s="32"/>
      <c r="AC77" s="33"/>
      <c r="AD77" s="31"/>
      <c r="AE77" s="33"/>
      <c r="AF77" s="31"/>
      <c r="AG77" s="33"/>
      <c r="AH77" s="43">
        <f t="shared" si="7"/>
        <v>2.4519000000000002</v>
      </c>
      <c r="AI77" s="93"/>
      <c r="AJ77" s="77"/>
      <c r="AK77" s="77"/>
      <c r="AL77" s="77"/>
      <c r="AM77" s="77"/>
      <c r="AN77" s="77"/>
      <c r="AO77" s="77"/>
      <c r="AP77" s="77">
        <f>X77*AA77%</f>
        <v>2.4519000000000002</v>
      </c>
      <c r="AQ77" s="46"/>
      <c r="AR77" s="346"/>
    </row>
    <row r="78" spans="1:44" ht="15" customHeight="1" x14ac:dyDescent="0.2">
      <c r="A78" s="97"/>
      <c r="B78" s="98"/>
      <c r="C78" s="99"/>
      <c r="D78" s="99"/>
      <c r="E78" s="99"/>
      <c r="F78" s="227">
        <f>O121</f>
        <v>0</v>
      </c>
      <c r="G78" s="99"/>
      <c r="H78" s="99"/>
      <c r="I78" s="99"/>
      <c r="J78" s="98"/>
      <c r="K78" s="98"/>
      <c r="L78" s="98"/>
      <c r="M78" s="98"/>
      <c r="N78" s="98"/>
      <c r="O78" s="98"/>
      <c r="P78" s="98"/>
      <c r="Q78" s="98"/>
      <c r="R78" s="98"/>
      <c r="S78" s="98"/>
      <c r="T78" s="98"/>
      <c r="U78" s="98"/>
      <c r="V78" s="98"/>
      <c r="W78" s="98"/>
      <c r="X78" s="46">
        <f t="shared" si="8"/>
        <v>0</v>
      </c>
      <c r="Y78" s="100" t="s">
        <v>32</v>
      </c>
      <c r="Z78" s="181"/>
      <c r="AA78" s="32">
        <v>33</v>
      </c>
      <c r="AB78" s="182"/>
      <c r="AC78" s="186"/>
      <c r="AD78" s="31">
        <f>-AE78/$D$2%</f>
        <v>0</v>
      </c>
      <c r="AE78" s="185"/>
      <c r="AF78" s="181"/>
      <c r="AG78" s="186"/>
      <c r="AH78" s="43">
        <f t="shared" si="7"/>
        <v>0</v>
      </c>
      <c r="AI78" s="102"/>
      <c r="AJ78" s="98"/>
      <c r="AK78" s="98"/>
      <c r="AL78" s="98"/>
      <c r="AM78" s="98"/>
      <c r="AN78" s="98"/>
      <c r="AO78" s="98"/>
      <c r="AP78" s="98"/>
      <c r="AQ78" s="46">
        <f>X78*AA78/100+AE78*AA78%</f>
        <v>0</v>
      </c>
      <c r="AR78" s="346"/>
    </row>
    <row r="79" spans="1:44" ht="15" customHeight="1" x14ac:dyDescent="0.2">
      <c r="A79" s="97"/>
      <c r="B79" s="98"/>
      <c r="C79" s="99"/>
      <c r="D79" s="99"/>
      <c r="E79" s="99"/>
      <c r="F79" s="99"/>
      <c r="G79" s="227">
        <f>'2018'!G79*(1+O102)</f>
        <v>16.310466000000002</v>
      </c>
      <c r="H79" s="227">
        <f>'2018'!H79*(1+O102)</f>
        <v>1.7500499999999999E-2</v>
      </c>
      <c r="I79" s="99"/>
      <c r="J79" s="98"/>
      <c r="K79" s="98"/>
      <c r="L79" s="98"/>
      <c r="M79" s="98"/>
      <c r="N79" s="98"/>
      <c r="O79" s="98"/>
      <c r="P79" s="98"/>
      <c r="Q79" s="98"/>
      <c r="R79" s="98"/>
      <c r="S79" s="98"/>
      <c r="T79" s="98"/>
      <c r="U79" s="98"/>
      <c r="V79" s="98"/>
      <c r="W79" s="98"/>
      <c r="X79" s="46">
        <f t="shared" si="8"/>
        <v>16.327966500000002</v>
      </c>
      <c r="Y79" s="100" t="s">
        <v>33</v>
      </c>
      <c r="Z79" s="181"/>
      <c r="AA79" s="32">
        <v>33</v>
      </c>
      <c r="AB79" s="182"/>
      <c r="AC79" s="186"/>
      <c r="AD79" s="181"/>
      <c r="AE79" s="186"/>
      <c r="AF79" s="181"/>
      <c r="AG79" s="186"/>
      <c r="AH79" s="43">
        <f t="shared" si="7"/>
        <v>5.3882289450000007</v>
      </c>
      <c r="AI79" s="103"/>
      <c r="AJ79" s="98"/>
      <c r="AK79" s="98"/>
      <c r="AL79" s="98"/>
      <c r="AM79" s="98"/>
      <c r="AN79" s="98"/>
      <c r="AO79" s="98"/>
      <c r="AP79" s="98"/>
      <c r="AQ79" s="46">
        <f>X79*AA79/100</f>
        <v>5.3882289450000007</v>
      </c>
      <c r="AR79" s="346"/>
    </row>
    <row r="80" spans="1:44" ht="15" customHeight="1" thickBot="1" x14ac:dyDescent="0.25">
      <c r="A80" s="97"/>
      <c r="B80" s="98"/>
      <c r="C80" s="99"/>
      <c r="D80" s="228">
        <f>'2018'!D80*(1+O103)</f>
        <v>9.8780000000000005E-4</v>
      </c>
      <c r="E80" s="99"/>
      <c r="F80" s="228">
        <f>'2018'!F80*(1+O103)</f>
        <v>1.9756</v>
      </c>
      <c r="G80" s="99"/>
      <c r="H80" s="99"/>
      <c r="I80" s="99"/>
      <c r="J80" s="98"/>
      <c r="K80" s="98"/>
      <c r="L80" s="98"/>
      <c r="M80" s="98"/>
      <c r="N80" s="98"/>
      <c r="O80" s="98"/>
      <c r="P80" s="98"/>
      <c r="Q80" s="98"/>
      <c r="R80" s="98"/>
      <c r="S80" s="98"/>
      <c r="T80" s="98"/>
      <c r="U80" s="98"/>
      <c r="V80" s="98"/>
      <c r="W80" s="98"/>
      <c r="X80" s="101">
        <f t="shared" si="8"/>
        <v>1.9765878000000001</v>
      </c>
      <c r="Y80" s="105" t="s">
        <v>11</v>
      </c>
      <c r="Z80" s="189"/>
      <c r="AA80" s="32">
        <v>33</v>
      </c>
      <c r="AB80" s="190"/>
      <c r="AC80" s="192"/>
      <c r="AD80" s="189"/>
      <c r="AE80" s="192"/>
      <c r="AF80" s="189"/>
      <c r="AG80" s="192"/>
      <c r="AH80" s="108">
        <f t="shared" si="7"/>
        <v>0.65227397399999998</v>
      </c>
      <c r="AI80" s="109"/>
      <c r="AJ80" s="106"/>
      <c r="AK80" s="106"/>
      <c r="AL80" s="106"/>
      <c r="AM80" s="106"/>
      <c r="AN80" s="106"/>
      <c r="AO80" s="106"/>
      <c r="AP80" s="106"/>
      <c r="AQ80" s="46">
        <f>X80*AA80/100</f>
        <v>0.65227397399999998</v>
      </c>
      <c r="AR80" s="346"/>
    </row>
    <row r="81" spans="1:44" ht="15" customHeight="1" thickBot="1" x14ac:dyDescent="0.25">
      <c r="A81" s="110">
        <f t="shared" ref="A81:X81" si="11">SUM(A8:A80)</f>
        <v>54.220481603592688</v>
      </c>
      <c r="B81" s="111">
        <f t="shared" si="11"/>
        <v>0.89</v>
      </c>
      <c r="C81" s="111">
        <f t="shared" si="11"/>
        <v>0</v>
      </c>
      <c r="D81" s="111">
        <f t="shared" si="11"/>
        <v>9.8780000000000005E-4</v>
      </c>
      <c r="E81" s="111">
        <f t="shared" si="11"/>
        <v>0.44819999999999999</v>
      </c>
      <c r="F81" s="111">
        <f t="shared" si="11"/>
        <v>43.741403589000001</v>
      </c>
      <c r="G81" s="111">
        <f t="shared" si="11"/>
        <v>16.310466000000002</v>
      </c>
      <c r="H81" s="111">
        <f t="shared" si="11"/>
        <v>3.8081600999999998</v>
      </c>
      <c r="I81" s="111">
        <f t="shared" si="11"/>
        <v>0</v>
      </c>
      <c r="J81" s="111">
        <f t="shared" si="11"/>
        <v>-6.9644848000000037E-2</v>
      </c>
      <c r="K81" s="111">
        <f t="shared" si="11"/>
        <v>0.34699999999999998</v>
      </c>
      <c r="L81" s="111">
        <f t="shared" si="11"/>
        <v>18.959</v>
      </c>
      <c r="M81" s="111">
        <f t="shared" si="11"/>
        <v>0</v>
      </c>
      <c r="N81" s="111">
        <f t="shared" si="11"/>
        <v>9.9</v>
      </c>
      <c r="O81" s="111">
        <f t="shared" si="11"/>
        <v>0</v>
      </c>
      <c r="P81" s="111">
        <f t="shared" si="11"/>
        <v>2.4618078109999999</v>
      </c>
      <c r="Q81" s="111">
        <f t="shared" si="11"/>
        <v>1.0980000000000001</v>
      </c>
      <c r="R81" s="111">
        <f t="shared" si="11"/>
        <v>45.638999999999996</v>
      </c>
      <c r="S81" s="111">
        <f t="shared" si="11"/>
        <v>21.07</v>
      </c>
      <c r="T81" s="111">
        <f t="shared" si="11"/>
        <v>0</v>
      </c>
      <c r="U81" s="111">
        <f t="shared" si="11"/>
        <v>0</v>
      </c>
      <c r="V81" s="111">
        <f t="shared" si="11"/>
        <v>0</v>
      </c>
      <c r="W81" s="111">
        <f t="shared" si="11"/>
        <v>0</v>
      </c>
      <c r="X81" s="112">
        <f t="shared" si="11"/>
        <v>218.82486205559269</v>
      </c>
      <c r="Y81" s="113" t="s">
        <v>2</v>
      </c>
      <c r="Z81" s="114"/>
      <c r="AA81" s="114"/>
      <c r="AB81" s="114"/>
      <c r="AC81" s="114"/>
      <c r="AD81" s="110">
        <f t="shared" ref="AD81:AQ81" si="12">SUM(AD8:AD80)</f>
        <v>1.5543122344752192E-15</v>
      </c>
      <c r="AE81" s="112">
        <f t="shared" si="12"/>
        <v>66.717853060011876</v>
      </c>
      <c r="AF81" s="110">
        <f t="shared" si="12"/>
        <v>0</v>
      </c>
      <c r="AG81" s="112">
        <f t="shared" si="12"/>
        <v>14.659649999999999</v>
      </c>
      <c r="AH81" s="113">
        <f t="shared" si="12"/>
        <v>139.620033479</v>
      </c>
      <c r="AI81" s="115">
        <f t="shared" si="12"/>
        <v>76.537311799999998</v>
      </c>
      <c r="AJ81" s="111">
        <f t="shared" si="12"/>
        <v>4.3949793499999998</v>
      </c>
      <c r="AK81" s="111">
        <f t="shared" si="12"/>
        <v>5.70002545</v>
      </c>
      <c r="AL81" s="111">
        <f t="shared" si="12"/>
        <v>7.2363214999999999</v>
      </c>
      <c r="AM81" s="111">
        <f t="shared" si="12"/>
        <v>1.3528E-2</v>
      </c>
      <c r="AN81" s="111">
        <f t="shared" si="12"/>
        <v>9.5976248000000002</v>
      </c>
      <c r="AO81" s="111">
        <f t="shared" si="12"/>
        <v>0.21989474999999997</v>
      </c>
      <c r="AP81" s="111">
        <f t="shared" si="12"/>
        <v>8.0055739999999993</v>
      </c>
      <c r="AQ81" s="112">
        <f t="shared" si="12"/>
        <v>27.914773829000001</v>
      </c>
    </row>
    <row r="82" spans="1:44" ht="15" customHeight="1" x14ac:dyDescent="0.25">
      <c r="A82" s="87">
        <f t="shared" ref="A82:V82" si="13">A81*A89/1000</f>
        <v>0</v>
      </c>
      <c r="B82" s="88">
        <f t="shared" si="13"/>
        <v>5.6159000000000001E-2</v>
      </c>
      <c r="C82" s="88">
        <f t="shared" si="13"/>
        <v>0</v>
      </c>
      <c r="D82" s="88">
        <f t="shared" si="13"/>
        <v>7.7917663999999996E-5</v>
      </c>
      <c r="E82" s="88">
        <f t="shared" si="13"/>
        <v>3.3166800000000003E-2</v>
      </c>
      <c r="F82" s="88">
        <f t="shared" si="13"/>
        <v>3.2368638655859998</v>
      </c>
      <c r="G82" s="88">
        <f t="shared" si="13"/>
        <v>1.1743535520000001</v>
      </c>
      <c r="H82" s="88">
        <f t="shared" si="13"/>
        <v>0.27799568729999996</v>
      </c>
      <c r="I82" s="88">
        <f t="shared" si="13"/>
        <v>0</v>
      </c>
      <c r="J82" s="88">
        <f t="shared" si="13"/>
        <v>0</v>
      </c>
      <c r="K82" s="88">
        <f t="shared" si="13"/>
        <v>0</v>
      </c>
      <c r="L82" s="88">
        <f t="shared" si="13"/>
        <v>0</v>
      </c>
      <c r="M82" s="88">
        <f t="shared" si="13"/>
        <v>0</v>
      </c>
      <c r="N82" s="88">
        <f t="shared" si="13"/>
        <v>0</v>
      </c>
      <c r="O82" s="88">
        <f t="shared" si="13"/>
        <v>0</v>
      </c>
      <c r="P82" s="88">
        <f t="shared" si="13"/>
        <v>0</v>
      </c>
      <c r="Q82" s="88">
        <f t="shared" si="13"/>
        <v>0</v>
      </c>
      <c r="R82" s="88">
        <f t="shared" si="13"/>
        <v>0</v>
      </c>
      <c r="S82" s="88">
        <f t="shared" si="13"/>
        <v>0</v>
      </c>
      <c r="T82" s="88">
        <f t="shared" si="13"/>
        <v>0</v>
      </c>
      <c r="U82" s="88">
        <f t="shared" si="13"/>
        <v>0</v>
      </c>
      <c r="V82" s="88">
        <f t="shared" si="13"/>
        <v>0</v>
      </c>
      <c r="W82" s="88">
        <f>W81*W89/1000</f>
        <v>0</v>
      </c>
      <c r="X82" s="90">
        <f>SUM(A82:W82)</f>
        <v>4.7786168225500001</v>
      </c>
      <c r="Y82" s="116" t="s">
        <v>243</v>
      </c>
      <c r="Z82" s="117">
        <f>X82*1000/D1</f>
        <v>2.6445029455174325</v>
      </c>
      <c r="AA82" s="118" t="s">
        <v>12</v>
      </c>
      <c r="AB82" s="118"/>
      <c r="AC82" s="119"/>
      <c r="AD82" s="120"/>
      <c r="AE82" s="120"/>
      <c r="AF82" s="120"/>
      <c r="AG82" s="120"/>
      <c r="AH82" s="120"/>
      <c r="AI82" s="120"/>
      <c r="AJ82" s="120"/>
      <c r="AK82" s="120"/>
      <c r="AL82" s="120"/>
      <c r="AM82" s="120"/>
      <c r="AN82" s="120"/>
      <c r="AO82" s="120"/>
      <c r="AP82" s="120"/>
      <c r="AQ82" s="120"/>
    </row>
    <row r="83" spans="1:44" ht="15" customHeight="1" x14ac:dyDescent="0.2">
      <c r="A83" s="31"/>
      <c r="B83" s="32"/>
      <c r="C83" s="32"/>
      <c r="D83" s="32"/>
      <c r="E83" s="32"/>
      <c r="F83" s="32"/>
      <c r="G83" s="32"/>
      <c r="H83" s="32"/>
      <c r="I83" s="32"/>
      <c r="J83" s="32"/>
      <c r="K83" s="32"/>
      <c r="L83" s="32"/>
      <c r="M83" s="32"/>
      <c r="N83" s="32"/>
      <c r="O83" s="29">
        <v>17.62</v>
      </c>
      <c r="P83" s="29">
        <v>28.26</v>
      </c>
      <c r="Q83" s="29">
        <v>3.58</v>
      </c>
      <c r="R83" s="29">
        <v>129.80000000000001</v>
      </c>
      <c r="S83" s="32"/>
      <c r="T83" s="32"/>
      <c r="U83" s="32"/>
      <c r="V83" s="32"/>
      <c r="W83" s="32"/>
      <c r="X83" s="46">
        <f>SUM(A83:W83)</f>
        <v>179.26000000000002</v>
      </c>
      <c r="Y83" s="43" t="s">
        <v>35</v>
      </c>
      <c r="Z83" s="25">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Z37%+AB37%)+SUM(J40:V40)*(Z40%+AB40%)+SUM(J41:V41)*(Z41%+AB41%)+SUM(J42:V42)*(Z42%+AB42%)+SUM(J44:V44)*(Z44%+AB44%)+SUM(J45:V45)*(Z45%+AB45%)+SUM(J46:V46)*(Z46%+AB46%)+SUM(J47:V47)*(Z47%+AB47%)+SUM(J48:V48)*(Z48%+AB48%)+SUM(J50:V50)*(Z50%+AB50%)+SUM(J51:V51)*(Z51%+AB51%)+SUM(J53:V53)*(Z53%+AA53%+AB53%)+SUM(J54:V54)*(Z54%+AA54%+AB54%)+SUM(J56:V56)*(Z56%+AB56%)+SUM(J57:V57)*(Z57%+AB57%)+SUM(J59:V59)*(Z59%+AB59%)+SUM(J60:V60)*(Z60%+AB60%)+SUM(J61:V61)*(Z61%+AB61%)+SUM(J63:V63)*(Z63%+AB63%)+SUM(J64:V64)*(Z64%+AB64%)+SUM(J65:V65)*(Z65%+AB65%)+SUM(J66:V66)*(Z66%+AB66%)+SUM(J67:V67)*(Z67%+AB67%)+SUM(J68:V68)*(Z68%+AB68%))/(SUM(X8:X14)+SUM(X16:X25)+SUM(X72:X80)+(AG39/AC39%+AG43/AC43%+AG52/AC52%+AG55/AC55%+AG62/AC62%+AG71/AC71%)+AE81+SUM(AE8:AE14)*(1-D2%)+(-AF70))*100</f>
        <v>70.359974176945286</v>
      </c>
      <c r="AA83" s="2" t="s">
        <v>210</v>
      </c>
      <c r="AB83" s="121"/>
      <c r="AC83" s="122"/>
      <c r="AD83" s="120"/>
      <c r="AE83" s="120"/>
      <c r="AF83" s="120"/>
      <c r="AG83" s="120"/>
      <c r="AH83" s="120"/>
      <c r="AI83" s="120"/>
      <c r="AJ83" s="120"/>
      <c r="AK83" s="120"/>
      <c r="AL83" s="120"/>
      <c r="AM83" s="120"/>
      <c r="AN83" s="120"/>
      <c r="AO83" s="120"/>
      <c r="AP83" s="120"/>
      <c r="AQ83" s="120"/>
    </row>
    <row r="84" spans="1:44" ht="15" customHeight="1" thickBot="1" x14ac:dyDescent="0.25">
      <c r="A84" s="189"/>
      <c r="B84" s="190"/>
      <c r="C84" s="190"/>
      <c r="D84" s="190"/>
      <c r="E84" s="190"/>
      <c r="F84" s="190"/>
      <c r="G84" s="190"/>
      <c r="H84" s="190"/>
      <c r="I84" s="190"/>
      <c r="J84" s="190" t="str">
        <f>IF(J83&gt;0,J81/J83*100,"")</f>
        <v/>
      </c>
      <c r="K84" s="190" t="str">
        <f t="shared" ref="K84:W84" si="14">IF(K83&gt;0,K81/K83*100,"")</f>
        <v/>
      </c>
      <c r="L84" s="190" t="str">
        <f t="shared" si="14"/>
        <v/>
      </c>
      <c r="M84" s="190" t="str">
        <f t="shared" si="14"/>
        <v/>
      </c>
      <c r="N84" s="190" t="str">
        <f t="shared" si="14"/>
        <v/>
      </c>
      <c r="O84" s="190">
        <f t="shared" si="14"/>
        <v>0</v>
      </c>
      <c r="P84" s="190">
        <f t="shared" si="14"/>
        <v>8.7112802937013445</v>
      </c>
      <c r="Q84" s="190">
        <f t="shared" si="14"/>
        <v>30.670391061452516</v>
      </c>
      <c r="R84" s="190">
        <f t="shared" si="14"/>
        <v>35.161016949152533</v>
      </c>
      <c r="S84" s="190" t="str">
        <f t="shared" si="14"/>
        <v/>
      </c>
      <c r="T84" s="190" t="str">
        <f t="shared" si="14"/>
        <v/>
      </c>
      <c r="U84" s="190" t="str">
        <f t="shared" si="14"/>
        <v/>
      </c>
      <c r="V84" s="190" t="str">
        <f>IF(V83&gt;0,V81/V83*100,"")</f>
        <v/>
      </c>
      <c r="W84" s="190" t="str">
        <f t="shared" si="14"/>
        <v/>
      </c>
      <c r="X84" s="107">
        <f>SUMIF(J83:W83,"&gt;0",J81:W81)/SUM(J83:W83)%</f>
        <v>27.445502516456539</v>
      </c>
      <c r="Y84" s="108" t="s">
        <v>38</v>
      </c>
      <c r="Z84" s="123">
        <f>SUM(J81:V81)/(X81)*100</f>
        <v>45.42681395030241</v>
      </c>
      <c r="AA84" s="26" t="s">
        <v>244</v>
      </c>
      <c r="AB84" s="124"/>
      <c r="AC84" s="125"/>
      <c r="AD84" s="120"/>
      <c r="AE84" s="120"/>
      <c r="AF84" s="120"/>
      <c r="AG84" s="120"/>
      <c r="AH84" s="120"/>
      <c r="AI84" s="120"/>
      <c r="AJ84" s="120"/>
      <c r="AK84" s="120"/>
      <c r="AL84" s="120"/>
      <c r="AM84" s="120"/>
      <c r="AN84" s="120"/>
      <c r="AO84" s="120"/>
      <c r="AP84" s="120"/>
      <c r="AQ84" s="120"/>
    </row>
    <row r="85" spans="1:44" ht="15" customHeight="1" thickBo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3"/>
      <c r="Z85" s="3"/>
      <c r="AA85" s="3"/>
      <c r="AB85" s="3"/>
      <c r="AC85" s="53"/>
      <c r="AD85" s="53"/>
      <c r="AE85" s="53"/>
      <c r="AF85" s="53"/>
      <c r="AG85" s="53"/>
      <c r="AH85" s="53"/>
      <c r="AI85" s="53"/>
      <c r="AJ85" s="53"/>
      <c r="AK85" s="53"/>
      <c r="AL85" s="53"/>
      <c r="AM85" s="53"/>
      <c r="AN85" s="53"/>
      <c r="AO85" s="53"/>
      <c r="AP85" s="53"/>
      <c r="AQ85" s="53"/>
    </row>
    <row r="86" spans="1:44" s="4" customFormat="1" ht="17.25" customHeight="1" x14ac:dyDescent="0.2">
      <c r="A86" s="126" t="s">
        <v>122</v>
      </c>
      <c r="B86" s="399" t="str">
        <f t="shared" ref="B86:W86" si="15">B7</f>
        <v xml:space="preserve">  LPG og petroleum</v>
      </c>
      <c r="C86" s="399" t="str">
        <f t="shared" si="15"/>
        <v xml:space="preserve">  Kul</v>
      </c>
      <c r="D86" s="399" t="str">
        <f t="shared" si="15"/>
        <v xml:space="preserve">  Fuelolie</v>
      </c>
      <c r="E86" s="399" t="str">
        <f t="shared" si="15"/>
        <v xml:space="preserve">  Brændselsolie</v>
      </c>
      <c r="F86" s="399" t="str">
        <f t="shared" si="15"/>
        <v xml:space="preserve">  Dieselolie</v>
      </c>
      <c r="G86" s="399" t="str">
        <f t="shared" si="15"/>
        <v xml:space="preserve">  JP1</v>
      </c>
      <c r="H86" s="399" t="str">
        <f t="shared" si="15"/>
        <v xml:space="preserve">  Benzin</v>
      </c>
      <c r="I86" s="399" t="str">
        <f t="shared" si="15"/>
        <v xml:space="preserve">  Naturgas</v>
      </c>
      <c r="J86" s="399" t="str">
        <f t="shared" si="15"/>
        <v xml:space="preserve">  Vindenergi</v>
      </c>
      <c r="K86" s="399" t="str">
        <f t="shared" si="15"/>
        <v xml:space="preserve">  Vandenergi</v>
      </c>
      <c r="L86" s="399" t="str">
        <f t="shared" si="15"/>
        <v xml:space="preserve">  Solenergi</v>
      </c>
      <c r="M86" s="399" t="str">
        <f t="shared" si="15"/>
        <v xml:space="preserve">  Geotermi</v>
      </c>
      <c r="N86" s="399" t="str">
        <f t="shared" si="15"/>
        <v xml:space="preserve">  Varmekilder til varmepumper</v>
      </c>
      <c r="O86" s="399" t="str">
        <f t="shared" si="15"/>
        <v xml:space="preserve">  Husdyrsgødning</v>
      </c>
      <c r="P86" s="399" t="str">
        <f t="shared" si="15"/>
        <v xml:space="preserve">  Biobrændstof og energiafgrøder</v>
      </c>
      <c r="Q86" s="399" t="str">
        <f t="shared" si="15"/>
        <v xml:space="preserve">  Halm</v>
      </c>
      <c r="R86" s="399" t="str">
        <f t="shared" si="15"/>
        <v xml:space="preserve">  Brænde og træflis</v>
      </c>
      <c r="S86" s="399" t="str">
        <f t="shared" si="15"/>
        <v xml:space="preserve">  Træpiller og træaffald</v>
      </c>
      <c r="T86" s="399" t="str">
        <f t="shared" si="15"/>
        <v xml:space="preserve">  Organisk affald, industri</v>
      </c>
      <c r="U86" s="399" t="str">
        <f t="shared" si="15"/>
        <v xml:space="preserve">  Organisk affald, husholdninger</v>
      </c>
      <c r="V86" s="399" t="str">
        <f t="shared" si="15"/>
        <v xml:space="preserve">  Deponi, slam, renseanlæg</v>
      </c>
      <c r="W86" s="405" t="str">
        <f t="shared" si="15"/>
        <v xml:space="preserve">  Affald, ikke bionedbrydeligt</v>
      </c>
      <c r="X86" s="3"/>
      <c r="Y86" s="3"/>
      <c r="Z86" s="3"/>
      <c r="AA86" s="3"/>
      <c r="AB86" s="3"/>
      <c r="AC86" s="3"/>
      <c r="AD86" s="3"/>
      <c r="AE86" s="3"/>
      <c r="AF86" s="3"/>
      <c r="AG86" s="3"/>
      <c r="AH86" s="3"/>
      <c r="AI86" s="3"/>
      <c r="AJ86" s="3"/>
      <c r="AK86" s="3"/>
      <c r="AL86" s="3"/>
      <c r="AM86" s="3"/>
      <c r="AN86" s="3"/>
      <c r="AO86" s="3"/>
      <c r="AP86" s="3"/>
      <c r="AQ86" s="3"/>
    </row>
    <row r="87" spans="1:44" s="4" customFormat="1" ht="21" x14ac:dyDescent="0.2">
      <c r="A87" s="220">
        <v>100</v>
      </c>
      <c r="B87" s="400"/>
      <c r="C87" s="400"/>
      <c r="D87" s="400"/>
      <c r="E87" s="400"/>
      <c r="F87" s="400"/>
      <c r="G87" s="400"/>
      <c r="H87" s="400"/>
      <c r="I87" s="400"/>
      <c r="J87" s="400"/>
      <c r="K87" s="400"/>
      <c r="L87" s="400"/>
      <c r="M87" s="400"/>
      <c r="N87" s="400"/>
      <c r="O87" s="400"/>
      <c r="P87" s="400"/>
      <c r="Q87" s="400"/>
      <c r="R87" s="400"/>
      <c r="S87" s="400"/>
      <c r="T87" s="400"/>
      <c r="U87" s="400"/>
      <c r="V87" s="400"/>
      <c r="W87" s="406"/>
      <c r="X87" s="3"/>
      <c r="Y87" s="3"/>
      <c r="Z87" s="3"/>
      <c r="AA87" s="3"/>
      <c r="AB87" s="3"/>
      <c r="AC87" s="3"/>
      <c r="AD87" s="3"/>
      <c r="AE87" s="3"/>
      <c r="AF87" s="3"/>
      <c r="AG87" s="3"/>
      <c r="AH87" s="3"/>
      <c r="AI87" s="3"/>
      <c r="AJ87" s="3"/>
      <c r="AK87" s="3"/>
      <c r="AL87" s="3"/>
      <c r="AM87" s="3"/>
      <c r="AN87" s="3"/>
      <c r="AO87" s="3"/>
      <c r="AP87" s="3"/>
      <c r="AQ87" s="3"/>
    </row>
    <row r="88" spans="1:44" s="4" customFormat="1" ht="123" customHeight="1" thickBot="1" x14ac:dyDescent="0.25">
      <c r="A88" s="128" t="s">
        <v>123</v>
      </c>
      <c r="B88" s="401"/>
      <c r="C88" s="401"/>
      <c r="D88" s="401"/>
      <c r="E88" s="401"/>
      <c r="F88" s="401"/>
      <c r="G88" s="401"/>
      <c r="H88" s="401"/>
      <c r="I88" s="401"/>
      <c r="J88" s="401"/>
      <c r="K88" s="401"/>
      <c r="L88" s="401"/>
      <c r="M88" s="401"/>
      <c r="N88" s="401"/>
      <c r="O88" s="401"/>
      <c r="P88" s="401"/>
      <c r="Q88" s="401"/>
      <c r="R88" s="401"/>
      <c r="S88" s="401"/>
      <c r="T88" s="401"/>
      <c r="U88" s="401"/>
      <c r="V88" s="401"/>
      <c r="W88" s="407"/>
      <c r="X88" s="3"/>
      <c r="Y88" s="3"/>
      <c r="Z88" s="3"/>
      <c r="AA88" s="3"/>
      <c r="AB88" s="3"/>
      <c r="AC88" s="3"/>
      <c r="AD88" s="3"/>
      <c r="AE88" s="3"/>
      <c r="AF88" s="3"/>
      <c r="AG88" s="3"/>
      <c r="AH88" s="3"/>
      <c r="AI88" s="3"/>
      <c r="AJ88" s="3"/>
      <c r="AK88" s="3"/>
      <c r="AL88" s="3"/>
      <c r="AM88" s="3"/>
      <c r="AN88" s="3"/>
      <c r="AO88" s="3"/>
      <c r="AP88" s="3"/>
      <c r="AQ88" s="3"/>
    </row>
    <row r="89" spans="1:44" ht="15" customHeight="1" thickBot="1" x14ac:dyDescent="0.35">
      <c r="A89" s="221">
        <v>0</v>
      </c>
      <c r="B89" s="47">
        <v>63.1</v>
      </c>
      <c r="C89" s="47">
        <v>94.37</v>
      </c>
      <c r="D89" s="47">
        <v>78.88</v>
      </c>
      <c r="E89" s="47">
        <v>74</v>
      </c>
      <c r="F89" s="47">
        <v>74</v>
      </c>
      <c r="G89" s="47">
        <v>72</v>
      </c>
      <c r="H89" s="47">
        <v>73</v>
      </c>
      <c r="I89" s="47">
        <v>56.89</v>
      </c>
      <c r="J89" s="47"/>
      <c r="K89" s="47"/>
      <c r="L89" s="47"/>
      <c r="M89" s="47"/>
      <c r="N89" s="48"/>
      <c r="O89" s="47"/>
      <c r="P89" s="47"/>
      <c r="Q89" s="47"/>
      <c r="R89" s="47"/>
      <c r="S89" s="47"/>
      <c r="T89" s="47"/>
      <c r="U89" s="47"/>
      <c r="V89" s="48"/>
      <c r="W89" s="48">
        <v>82.22</v>
      </c>
      <c r="X89" s="130" t="s">
        <v>245</v>
      </c>
      <c r="Y89" s="131"/>
      <c r="Z89" s="53"/>
      <c r="AA89" s="53"/>
      <c r="AB89" s="53"/>
      <c r="AC89" s="53"/>
      <c r="AD89" s="53"/>
      <c r="AE89" s="53"/>
      <c r="AF89" s="53"/>
      <c r="AG89" s="53"/>
      <c r="AH89" s="53"/>
      <c r="AI89" s="53"/>
      <c r="AJ89" s="53"/>
      <c r="AK89" s="53"/>
      <c r="AL89" s="53"/>
      <c r="AM89" s="53"/>
      <c r="AN89" s="53"/>
      <c r="AO89" s="53"/>
      <c r="AP89" s="53"/>
      <c r="AQ89" s="53"/>
    </row>
    <row r="90" spans="1:44" x14ac:dyDescent="0.2">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row>
    <row r="91" spans="1:44" x14ac:dyDescent="0.2">
      <c r="Y91" s="62"/>
    </row>
    <row r="92" spans="1:44" ht="27.75" x14ac:dyDescent="0.4">
      <c r="A92" s="314" t="s">
        <v>278</v>
      </c>
      <c r="B92" s="62"/>
      <c r="C92" s="62"/>
      <c r="D92" s="62"/>
      <c r="E92" s="62"/>
      <c r="F92" s="62"/>
      <c r="G92" s="62"/>
      <c r="H92" s="62"/>
      <c r="I92" s="62"/>
      <c r="J92" s="62"/>
      <c r="K92" s="62"/>
      <c r="L92" s="62"/>
      <c r="M92" s="62"/>
      <c r="N92" s="62"/>
      <c r="O92" s="62"/>
    </row>
    <row r="93" spans="1:44" ht="12.75" customHeight="1" x14ac:dyDescent="0.2">
      <c r="A93" s="62"/>
      <c r="B93" s="62"/>
      <c r="C93" s="62"/>
      <c r="D93" s="62"/>
      <c r="E93" s="62"/>
      <c r="F93" s="62"/>
      <c r="G93" s="62"/>
      <c r="H93" s="62"/>
      <c r="I93" s="62"/>
      <c r="J93" s="62"/>
      <c r="K93" s="62"/>
      <c r="L93" s="62"/>
      <c r="M93" s="62"/>
      <c r="N93" s="62"/>
      <c r="O93" s="62"/>
    </row>
    <row r="94" spans="1:44" ht="15.75" x14ac:dyDescent="0.25">
      <c r="A94" s="313" t="s">
        <v>279</v>
      </c>
      <c r="B94" s="62"/>
      <c r="C94" s="62"/>
      <c r="D94" s="62"/>
      <c r="E94" s="62"/>
      <c r="F94" s="62"/>
      <c r="G94" s="62"/>
      <c r="H94" s="62"/>
      <c r="I94" s="62"/>
      <c r="J94" s="313" t="s">
        <v>302</v>
      </c>
      <c r="K94" s="62"/>
      <c r="L94" s="62"/>
      <c r="M94" s="62"/>
      <c r="N94" s="62"/>
      <c r="O94" s="62"/>
    </row>
    <row r="95" spans="1:44" x14ac:dyDescent="0.2">
      <c r="A95" s="311" t="s">
        <v>309</v>
      </c>
      <c r="B95" s="305"/>
      <c r="C95" s="305"/>
      <c r="D95" s="42"/>
      <c r="E95" s="311"/>
      <c r="F95" s="232" t="s">
        <v>276</v>
      </c>
      <c r="G95" s="317" t="s">
        <v>308</v>
      </c>
      <c r="J95" s="319" t="s">
        <v>312</v>
      </c>
      <c r="K95" s="305"/>
      <c r="L95" s="305"/>
      <c r="M95" s="305"/>
      <c r="N95" s="305"/>
      <c r="O95" s="306"/>
    </row>
    <row r="96" spans="1:44" x14ac:dyDescent="0.2">
      <c r="A96" s="311">
        <v>2018</v>
      </c>
      <c r="B96" s="305"/>
      <c r="C96" s="305"/>
      <c r="D96" s="42"/>
      <c r="E96" s="344">
        <f>('2018'!I45+'2018'!I46+'2018'!I47+'2018'!I56)</f>
        <v>0</v>
      </c>
      <c r="F96" s="235"/>
      <c r="G96" s="315"/>
      <c r="J96" s="325" t="s">
        <v>284</v>
      </c>
      <c r="K96" s="309"/>
      <c r="L96" s="309"/>
      <c r="M96" s="309"/>
      <c r="N96" s="310"/>
      <c r="O96" s="340">
        <v>-0.78400000000000003</v>
      </c>
    </row>
    <row r="97" spans="1:15" x14ac:dyDescent="0.2">
      <c r="A97" s="311">
        <v>2050</v>
      </c>
      <c r="B97" s="305"/>
      <c r="C97" s="305"/>
      <c r="D97" s="42"/>
      <c r="E97" s="344">
        <f>E96*0.2</f>
        <v>0</v>
      </c>
      <c r="F97" s="235"/>
      <c r="G97" s="315"/>
      <c r="J97" s="323" t="s">
        <v>285</v>
      </c>
      <c r="K97" s="307"/>
      <c r="L97" s="307"/>
      <c r="M97" s="324"/>
      <c r="N97" s="308"/>
      <c r="O97" s="332">
        <v>-0.80200000000000005</v>
      </c>
    </row>
    <row r="98" spans="1:15" x14ac:dyDescent="0.2">
      <c r="A98" s="86" t="s">
        <v>270</v>
      </c>
      <c r="D98" s="120">
        <f>(AB45+AB46+AB47+AB56)/4</f>
        <v>25</v>
      </c>
      <c r="E98" s="53"/>
      <c r="F98" s="343">
        <f>(E96-E97)*D98%</f>
        <v>0</v>
      </c>
      <c r="G98" s="342">
        <f>F98*(1+G$95)</f>
        <v>0</v>
      </c>
      <c r="J98" s="319" t="s">
        <v>289</v>
      </c>
      <c r="K98" s="305"/>
      <c r="L98" s="305"/>
      <c r="M98" s="321"/>
      <c r="N98" s="305"/>
      <c r="O98" s="328"/>
    </row>
    <row r="99" spans="1:15" x14ac:dyDescent="0.2">
      <c r="A99" s="312" t="s">
        <v>268</v>
      </c>
      <c r="B99" s="305"/>
      <c r="C99" s="305"/>
      <c r="D99" s="42"/>
      <c r="E99" s="344"/>
      <c r="F99" s="343">
        <f>70%*F98</f>
        <v>0</v>
      </c>
      <c r="G99" s="341">
        <f t="shared" ref="G99:G100" si="16">F99*(1+G$95)</f>
        <v>0</v>
      </c>
      <c r="H99" s="133"/>
      <c r="I99" s="134"/>
      <c r="J99" s="325" t="s">
        <v>286</v>
      </c>
      <c r="K99" s="309"/>
      <c r="L99" s="309"/>
      <c r="M99" s="326"/>
      <c r="N99" s="310"/>
      <c r="O99" s="327">
        <v>-2.58E-2</v>
      </c>
    </row>
    <row r="100" spans="1:15" x14ac:dyDescent="0.2">
      <c r="A100" s="312" t="s">
        <v>269</v>
      </c>
      <c r="B100" s="305"/>
      <c r="C100" s="305"/>
      <c r="D100" s="42"/>
      <c r="E100" s="344"/>
      <c r="F100" s="343">
        <f>30%*F98</f>
        <v>0</v>
      </c>
      <c r="G100" s="341">
        <f t="shared" si="16"/>
        <v>0</v>
      </c>
      <c r="J100" s="319" t="s">
        <v>288</v>
      </c>
      <c r="K100" s="305"/>
      <c r="L100" s="305"/>
      <c r="M100" s="320"/>
      <c r="N100" s="306"/>
      <c r="O100" s="322">
        <v>-0.14460000000000001</v>
      </c>
    </row>
    <row r="101" spans="1:15" x14ac:dyDescent="0.2">
      <c r="F101" s="86"/>
      <c r="G101" s="241"/>
      <c r="J101" s="319" t="s">
        <v>287</v>
      </c>
      <c r="K101" s="305"/>
      <c r="L101" s="305"/>
      <c r="M101" s="320"/>
      <c r="N101" s="306"/>
      <c r="O101" s="322">
        <v>-3.8699999999999998E-2</v>
      </c>
    </row>
    <row r="102" spans="1:15" x14ac:dyDescent="0.2">
      <c r="A102" s="311" t="s">
        <v>310</v>
      </c>
      <c r="B102" s="305"/>
      <c r="C102" s="305"/>
      <c r="D102" s="42"/>
      <c r="E102" s="311"/>
      <c r="F102" s="254" t="s">
        <v>277</v>
      </c>
      <c r="G102" s="317" t="str">
        <f>G95</f>
        <v>-10%</v>
      </c>
      <c r="J102" s="319" t="s">
        <v>292</v>
      </c>
      <c r="K102" s="305"/>
      <c r="L102" s="305"/>
      <c r="M102" s="320"/>
      <c r="N102" s="306"/>
      <c r="O102" s="322">
        <v>0.16669999999999999</v>
      </c>
    </row>
    <row r="103" spans="1:15" x14ac:dyDescent="0.2">
      <c r="A103" s="311">
        <v>2018</v>
      </c>
      <c r="B103" s="305"/>
      <c r="C103" s="305"/>
      <c r="D103" s="42"/>
      <c r="E103" s="344">
        <f>'2018'!E17</f>
        <v>24.75</v>
      </c>
      <c r="F103" s="254"/>
      <c r="G103" s="315"/>
      <c r="J103" s="319" t="s">
        <v>290</v>
      </c>
      <c r="K103" s="305"/>
      <c r="L103" s="305"/>
      <c r="M103" s="320"/>
      <c r="N103" s="306"/>
      <c r="O103" s="322">
        <v>-1.2200000000000001E-2</v>
      </c>
    </row>
    <row r="104" spans="1:15" x14ac:dyDescent="0.2">
      <c r="A104" s="311">
        <v>2050</v>
      </c>
      <c r="B104" s="305"/>
      <c r="C104" s="305"/>
      <c r="D104" s="42"/>
      <c r="E104" s="311">
        <f>E103*0</f>
        <v>0</v>
      </c>
      <c r="F104" s="254"/>
      <c r="G104" s="315"/>
      <c r="J104" s="86" t="s">
        <v>301</v>
      </c>
    </row>
    <row r="105" spans="1:15" x14ac:dyDescent="0.2">
      <c r="A105" s="86" t="s">
        <v>104</v>
      </c>
      <c r="D105" s="120">
        <f>AB17</f>
        <v>80</v>
      </c>
      <c r="F105" s="343">
        <f>(E103-E104)*D105%</f>
        <v>19.8</v>
      </c>
      <c r="G105" s="342">
        <f>F105*(1+G$95)</f>
        <v>17.82</v>
      </c>
    </row>
    <row r="106" spans="1:15" x14ac:dyDescent="0.2">
      <c r="A106" s="311" t="s">
        <v>261</v>
      </c>
      <c r="B106" s="305"/>
      <c r="C106" s="305"/>
      <c r="D106" s="42"/>
      <c r="E106" s="311"/>
      <c r="F106" s="343">
        <f>F105*75%</f>
        <v>14.850000000000001</v>
      </c>
      <c r="G106" s="341">
        <f t="shared" ref="G106:G107" si="17">F106*(1+G$95)</f>
        <v>13.365000000000002</v>
      </c>
      <c r="J106" s="319" t="s">
        <v>314</v>
      </c>
      <c r="K106" s="305"/>
      <c r="L106" s="305"/>
      <c r="M106" s="305"/>
      <c r="N106" s="306"/>
      <c r="O106" s="329"/>
    </row>
    <row r="107" spans="1:15" x14ac:dyDescent="0.2">
      <c r="A107" s="312" t="s">
        <v>262</v>
      </c>
      <c r="B107" s="305"/>
      <c r="C107" s="305"/>
      <c r="D107" s="42"/>
      <c r="E107" s="311"/>
      <c r="F107" s="343">
        <f>F105*25%</f>
        <v>4.95</v>
      </c>
      <c r="G107" s="341">
        <f t="shared" si="17"/>
        <v>4.4550000000000001</v>
      </c>
      <c r="J107" s="319" t="s">
        <v>137</v>
      </c>
      <c r="K107" s="305"/>
      <c r="L107" s="305"/>
      <c r="M107" s="305"/>
      <c r="N107" s="338"/>
      <c r="O107" s="339">
        <v>5.7500000000000002E-2</v>
      </c>
    </row>
    <row r="108" spans="1:15" x14ac:dyDescent="0.2">
      <c r="F108" s="345"/>
      <c r="G108" s="241"/>
      <c r="J108" s="319" t="s">
        <v>307</v>
      </c>
      <c r="K108" s="305"/>
      <c r="L108" s="305"/>
      <c r="M108" s="305"/>
      <c r="N108" s="306"/>
      <c r="O108" s="339">
        <v>6.0999999999999999E-2</v>
      </c>
    </row>
    <row r="109" spans="1:15" x14ac:dyDescent="0.2">
      <c r="A109" s="311" t="s">
        <v>311</v>
      </c>
      <c r="B109" s="305"/>
      <c r="C109" s="305"/>
      <c r="D109" s="42"/>
      <c r="E109" s="311"/>
      <c r="F109" s="254" t="s">
        <v>277</v>
      </c>
      <c r="G109" s="317" t="str">
        <f>G102</f>
        <v>-10%</v>
      </c>
    </row>
    <row r="110" spans="1:15" x14ac:dyDescent="0.2">
      <c r="A110" s="311">
        <v>2018</v>
      </c>
      <c r="B110" s="305"/>
      <c r="C110" s="305"/>
      <c r="D110" s="42"/>
      <c r="E110" s="344">
        <f>'2018'!I18</f>
        <v>0</v>
      </c>
      <c r="F110" s="254"/>
      <c r="G110" s="315"/>
      <c r="J110" s="224" t="s">
        <v>300</v>
      </c>
    </row>
    <row r="111" spans="1:15" x14ac:dyDescent="0.2">
      <c r="A111" s="311">
        <v>2050</v>
      </c>
      <c r="B111" s="305"/>
      <c r="C111" s="305"/>
      <c r="D111" s="42"/>
      <c r="E111" s="344">
        <f>E110*0.2</f>
        <v>0</v>
      </c>
      <c r="F111" s="254"/>
      <c r="G111" s="315"/>
      <c r="J111" s="319" t="s">
        <v>315</v>
      </c>
      <c r="K111" s="305"/>
      <c r="L111" s="305"/>
      <c r="M111" s="305"/>
      <c r="N111" s="306"/>
      <c r="O111" s="329">
        <f>80%*3350000</f>
        <v>2680000</v>
      </c>
    </row>
    <row r="112" spans="1:15" x14ac:dyDescent="0.2">
      <c r="A112" s="86" t="s">
        <v>104</v>
      </c>
      <c r="D112" s="120">
        <f>AB18</f>
        <v>85</v>
      </c>
      <c r="E112" s="120"/>
      <c r="F112" s="343">
        <f>(E110-E111)*D112%</f>
        <v>0</v>
      </c>
      <c r="G112" s="342">
        <f>F112*(1+G$95)</f>
        <v>0</v>
      </c>
      <c r="J112" s="319" t="s">
        <v>294</v>
      </c>
      <c r="K112" s="305"/>
      <c r="L112" s="305"/>
      <c r="M112" s="305"/>
      <c r="N112" s="338" t="s">
        <v>295</v>
      </c>
      <c r="O112" s="329">
        <v>11.2</v>
      </c>
    </row>
    <row r="113" spans="1:15" x14ac:dyDescent="0.2">
      <c r="A113" s="311" t="s">
        <v>261</v>
      </c>
      <c r="B113" s="305"/>
      <c r="C113" s="305"/>
      <c r="D113" s="42"/>
      <c r="E113" s="311"/>
      <c r="F113" s="343">
        <f>F112*75%</f>
        <v>0</v>
      </c>
      <c r="G113" s="341">
        <f t="shared" ref="G113:G114" si="18">F113*(1+G$95)</f>
        <v>0</v>
      </c>
      <c r="J113" s="319" t="s">
        <v>296</v>
      </c>
      <c r="K113" s="305"/>
      <c r="L113" s="305"/>
      <c r="M113" s="305"/>
      <c r="N113" s="306" t="s">
        <v>305</v>
      </c>
      <c r="O113" s="329">
        <v>2530047</v>
      </c>
    </row>
    <row r="114" spans="1:15" x14ac:dyDescent="0.2">
      <c r="A114" s="312" t="s">
        <v>262</v>
      </c>
      <c r="B114" s="305"/>
      <c r="C114" s="305"/>
      <c r="D114" s="42"/>
      <c r="E114" s="311"/>
      <c r="F114" s="343">
        <f>F112*25%</f>
        <v>0</v>
      </c>
      <c r="G114" s="341">
        <f t="shared" si="18"/>
        <v>0</v>
      </c>
      <c r="J114" s="319" t="s">
        <v>297</v>
      </c>
      <c r="K114" s="305"/>
      <c r="L114" s="305"/>
      <c r="M114" s="305"/>
      <c r="N114" s="306" t="s">
        <v>305</v>
      </c>
      <c r="O114" s="331">
        <f>'BAU2030'!O114</f>
        <v>785</v>
      </c>
    </row>
    <row r="115" spans="1:15" x14ac:dyDescent="0.2">
      <c r="F115" s="86"/>
      <c r="J115" s="319" t="s">
        <v>298</v>
      </c>
      <c r="K115" s="305"/>
      <c r="L115" s="305"/>
      <c r="M115" s="305"/>
      <c r="N115" s="306" t="s">
        <v>305</v>
      </c>
      <c r="O115" s="329">
        <f>MROUND(O114/$O$113*O111,1)</f>
        <v>832</v>
      </c>
    </row>
    <row r="116" spans="1:15" x14ac:dyDescent="0.2">
      <c r="J116" s="319" t="s">
        <v>299</v>
      </c>
      <c r="K116" s="305"/>
      <c r="L116" s="305"/>
      <c r="M116" s="305"/>
      <c r="N116" s="306" t="s">
        <v>202</v>
      </c>
      <c r="O116" s="330">
        <f>O115*O112/1000</f>
        <v>9.3184000000000005</v>
      </c>
    </row>
    <row r="118" spans="1:15" x14ac:dyDescent="0.2">
      <c r="J118" s="224" t="s">
        <v>291</v>
      </c>
    </row>
    <row r="119" spans="1:15" x14ac:dyDescent="0.2">
      <c r="J119" s="319" t="s">
        <v>303</v>
      </c>
      <c r="K119" s="305"/>
      <c r="L119" s="305"/>
      <c r="M119" s="333" t="s">
        <v>202</v>
      </c>
      <c r="N119" s="306"/>
      <c r="O119" s="77">
        <f>'2018'!F78</f>
        <v>0.95</v>
      </c>
    </row>
    <row r="120" spans="1:15" x14ac:dyDescent="0.2">
      <c r="J120" s="319" t="s">
        <v>313</v>
      </c>
      <c r="K120" s="305"/>
      <c r="L120" s="305"/>
      <c r="M120" s="335">
        <v>6.6699999999999995E-2</v>
      </c>
      <c r="N120" s="306" t="s">
        <v>202</v>
      </c>
      <c r="O120" s="77">
        <f>O119*(1+M120)</f>
        <v>1.0133649999999998</v>
      </c>
    </row>
    <row r="121" spans="1:15" x14ac:dyDescent="0.2">
      <c r="J121" s="334" t="s">
        <v>281</v>
      </c>
      <c r="K121" s="305"/>
      <c r="L121" s="305"/>
      <c r="M121" s="336">
        <v>0</v>
      </c>
      <c r="N121" s="306" t="s">
        <v>202</v>
      </c>
      <c r="O121" s="337">
        <f>M121*$O$120</f>
        <v>0</v>
      </c>
    </row>
    <row r="122" spans="1:15" x14ac:dyDescent="0.2">
      <c r="J122" s="334" t="s">
        <v>282</v>
      </c>
      <c r="K122" s="305"/>
      <c r="L122" s="305"/>
      <c r="M122" s="336">
        <v>1</v>
      </c>
      <c r="N122" s="306" t="s">
        <v>202</v>
      </c>
      <c r="O122" s="337">
        <f>M122*$O$120</f>
        <v>1.0133649999999998</v>
      </c>
    </row>
  </sheetData>
  <mergeCells count="30">
    <mergeCell ref="D1:E1"/>
    <mergeCell ref="AF6:AG6"/>
    <mergeCell ref="V86:V88"/>
    <mergeCell ref="W86:W88"/>
    <mergeCell ref="AI6:AQ6"/>
    <mergeCell ref="Y1:Y2"/>
    <mergeCell ref="A6:X6"/>
    <mergeCell ref="Z6:AC6"/>
    <mergeCell ref="AD6:AE6"/>
    <mergeCell ref="X3:Z4"/>
    <mergeCell ref="B86:B88"/>
    <mergeCell ref="C86:C88"/>
    <mergeCell ref="D86:D88"/>
    <mergeCell ref="E86:E88"/>
    <mergeCell ref="F86:F88"/>
    <mergeCell ref="G86:G88"/>
    <mergeCell ref="H86:H88"/>
    <mergeCell ref="I86:I88"/>
    <mergeCell ref="J86:J88"/>
    <mergeCell ref="K86:K88"/>
    <mergeCell ref="L86:L88"/>
    <mergeCell ref="M86:M88"/>
    <mergeCell ref="S86:S88"/>
    <mergeCell ref="T86:T88"/>
    <mergeCell ref="U86:U88"/>
    <mergeCell ref="N86:N88"/>
    <mergeCell ref="O86:O88"/>
    <mergeCell ref="P86:P88"/>
    <mergeCell ref="Q86:Q88"/>
    <mergeCell ref="R86:R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V122"/>
  <sheetViews>
    <sheetView showGridLines="0" showZeros="0" zoomScale="70" zoomScaleNormal="70" workbookViewId="0">
      <selection activeCell="AE14" sqref="AE14"/>
    </sheetView>
  </sheetViews>
  <sheetFormatPr defaultColWidth="9.140625" defaultRowHeight="12.75" x14ac:dyDescent="0.2"/>
  <cols>
    <col min="1" max="23" width="7.140625" style="1" customWidth="1"/>
    <col min="24" max="24" width="8.7109375" style="1" customWidth="1"/>
    <col min="25" max="25" width="57.5703125" style="1" bestFit="1" customWidth="1"/>
    <col min="26" max="29" width="5.7109375" style="1" customWidth="1"/>
    <col min="30" max="34" width="8.7109375" style="1" customWidth="1"/>
    <col min="35" max="43" width="7.140625" style="1" customWidth="1"/>
    <col min="44" max="16384" width="9.140625" style="1"/>
  </cols>
  <sheetData>
    <row r="1" spans="1:48" ht="15" customHeight="1" x14ac:dyDescent="0.2">
      <c r="A1" s="50" t="s">
        <v>48</v>
      </c>
      <c r="B1" s="51"/>
      <c r="C1" s="52"/>
      <c r="D1" s="402">
        <v>1807</v>
      </c>
      <c r="E1" s="403"/>
      <c r="H1" s="53"/>
      <c r="I1" s="53"/>
      <c r="K1" s="53"/>
      <c r="L1" s="53"/>
      <c r="M1" s="53"/>
      <c r="N1" s="53"/>
      <c r="O1" s="53"/>
      <c r="P1" s="53"/>
      <c r="Q1" s="53"/>
      <c r="R1" s="53"/>
      <c r="S1" s="53"/>
      <c r="T1" s="53"/>
      <c r="U1" s="53"/>
      <c r="V1" s="54"/>
      <c r="W1" s="54"/>
      <c r="X1" s="54"/>
      <c r="Y1" s="408" t="s">
        <v>73</v>
      </c>
      <c r="Z1" s="54"/>
      <c r="AA1" s="54"/>
      <c r="AB1" s="54"/>
      <c r="AC1" s="54"/>
      <c r="AD1" s="53"/>
      <c r="AE1" s="53"/>
      <c r="AF1" s="53"/>
      <c r="AG1" s="53"/>
      <c r="AH1" s="53"/>
      <c r="AI1" s="53"/>
      <c r="AJ1" s="53"/>
      <c r="AK1" s="53"/>
      <c r="AL1" s="53"/>
      <c r="AM1" s="53"/>
      <c r="AN1" s="53"/>
      <c r="AO1" s="53"/>
      <c r="AP1" s="53"/>
      <c r="AQ1" s="53"/>
    </row>
    <row r="2" spans="1:48" ht="15" customHeight="1" x14ac:dyDescent="0.2">
      <c r="A2" s="55" t="s">
        <v>50</v>
      </c>
      <c r="B2" s="53"/>
      <c r="D2" s="56">
        <v>91.85</v>
      </c>
      <c r="E2" s="57" t="s">
        <v>49</v>
      </c>
      <c r="H2" s="53"/>
      <c r="I2" s="53"/>
      <c r="J2" s="53"/>
      <c r="K2" s="53"/>
      <c r="L2" s="53"/>
      <c r="M2" s="53"/>
      <c r="N2" s="53"/>
      <c r="O2" s="53"/>
      <c r="P2" s="53"/>
      <c r="Q2" s="53"/>
      <c r="R2" s="53"/>
      <c r="S2" s="53"/>
      <c r="T2" s="53"/>
      <c r="U2" s="53"/>
      <c r="V2" s="54"/>
      <c r="W2" s="54"/>
      <c r="X2" s="54"/>
      <c r="Y2" s="408"/>
      <c r="Z2" s="54"/>
      <c r="AA2" s="54"/>
      <c r="AB2" s="54"/>
      <c r="AC2" s="54"/>
      <c r="AD2" s="53"/>
      <c r="AE2" s="53"/>
      <c r="AF2" s="53"/>
      <c r="AG2" s="53"/>
      <c r="AH2" s="53"/>
      <c r="AI2" s="53"/>
      <c r="AJ2" s="53"/>
      <c r="AK2" s="53"/>
      <c r="AL2" s="53"/>
      <c r="AM2" s="53"/>
      <c r="AN2" s="53"/>
      <c r="AO2" s="53"/>
      <c r="AP2" s="53"/>
      <c r="AQ2" s="53"/>
    </row>
    <row r="3" spans="1:48" ht="15" customHeight="1" thickBot="1" x14ac:dyDescent="0.25">
      <c r="A3" s="58" t="s">
        <v>46</v>
      </c>
      <c r="B3" s="59"/>
      <c r="C3" s="60"/>
      <c r="D3" s="5" t="s">
        <v>47</v>
      </c>
      <c r="E3" s="61"/>
      <c r="H3" s="53"/>
      <c r="I3" s="53"/>
      <c r="J3" s="53"/>
      <c r="K3" s="53"/>
      <c r="L3" s="53"/>
      <c r="M3" s="53"/>
      <c r="N3" s="53"/>
      <c r="O3" s="53"/>
      <c r="P3" s="53"/>
      <c r="Q3" s="53"/>
      <c r="R3" s="53"/>
      <c r="S3" s="53"/>
      <c r="T3" s="53"/>
      <c r="U3" s="53"/>
      <c r="V3" s="54"/>
      <c r="W3" s="54"/>
      <c r="X3" s="409" t="s">
        <v>338</v>
      </c>
      <c r="Y3" s="409"/>
      <c r="Z3" s="409"/>
      <c r="AA3" s="54"/>
      <c r="AB3" s="54"/>
      <c r="AC3" s="54"/>
      <c r="AD3" s="62"/>
      <c r="AE3" s="53"/>
      <c r="AF3" s="62"/>
      <c r="AG3" s="53"/>
      <c r="AH3" s="53"/>
      <c r="AI3" s="53"/>
      <c r="AJ3" s="53"/>
      <c r="AK3" s="53"/>
      <c r="AL3" s="53"/>
      <c r="AM3" s="53"/>
      <c r="AN3" s="53"/>
      <c r="AO3" s="53"/>
      <c r="AP3" s="53"/>
      <c r="AQ3" s="53"/>
    </row>
    <row r="4" spans="1:48" ht="15" customHeight="1" x14ac:dyDescent="0.2">
      <c r="A4" s="53"/>
      <c r="B4" s="53"/>
      <c r="C4" s="53"/>
      <c r="D4" s="53"/>
      <c r="E4" s="53"/>
      <c r="F4" s="53"/>
      <c r="G4" s="53"/>
      <c r="H4" s="53"/>
      <c r="I4" s="53"/>
      <c r="J4" s="53"/>
      <c r="K4" s="53"/>
      <c r="L4" s="53"/>
      <c r="M4" s="53"/>
      <c r="N4" s="53"/>
      <c r="O4" s="53"/>
      <c r="P4" s="53"/>
      <c r="Q4" s="53"/>
      <c r="R4" s="53"/>
      <c r="S4" s="53"/>
      <c r="T4" s="53"/>
      <c r="U4" s="53"/>
      <c r="V4" s="54"/>
      <c r="W4" s="54"/>
      <c r="X4" s="409"/>
      <c r="Y4" s="409"/>
      <c r="Z4" s="409"/>
      <c r="AA4" s="54"/>
      <c r="AB4" s="54"/>
      <c r="AC4" s="54"/>
      <c r="AD4" s="53"/>
      <c r="AE4" s="53"/>
      <c r="AF4" s="53"/>
      <c r="AG4" s="53"/>
      <c r="AH4" s="63"/>
      <c r="AI4" s="53"/>
      <c r="AJ4" s="53"/>
      <c r="AK4" s="53"/>
      <c r="AL4" s="53"/>
      <c r="AM4" s="53"/>
      <c r="AN4" s="53"/>
      <c r="AP4" s="53"/>
      <c r="AQ4" s="53"/>
    </row>
    <row r="5" spans="1:48" ht="15" customHeight="1" x14ac:dyDescent="0.2">
      <c r="A5" s="53"/>
      <c r="B5" s="53"/>
      <c r="C5" s="53"/>
      <c r="D5" s="53"/>
      <c r="E5" s="53"/>
      <c r="F5" s="53"/>
      <c r="G5" s="53"/>
      <c r="H5" s="53"/>
      <c r="I5" s="53"/>
      <c r="J5" s="53"/>
      <c r="K5" s="53"/>
      <c r="L5" s="53"/>
      <c r="M5" s="53"/>
      <c r="N5" s="53"/>
      <c r="O5" s="53"/>
      <c r="P5" s="53"/>
      <c r="Q5" s="53"/>
      <c r="R5" s="53"/>
      <c r="S5" s="53"/>
      <c r="T5" s="53"/>
      <c r="U5" s="53"/>
      <c r="V5" s="53"/>
      <c r="W5" s="53"/>
      <c r="X5" s="53"/>
      <c r="Z5" s="53"/>
      <c r="AA5" s="53"/>
      <c r="AB5" s="53"/>
      <c r="AC5" s="53"/>
      <c r="AD5" s="53"/>
      <c r="AE5" s="53"/>
      <c r="AF5" s="53"/>
      <c r="AG5" s="53"/>
      <c r="AH5" s="53"/>
      <c r="AI5" s="53"/>
      <c r="AJ5" s="53"/>
      <c r="AK5" s="53"/>
      <c r="AL5" s="53"/>
      <c r="AM5" s="53"/>
      <c r="AN5" s="53"/>
      <c r="AO5" s="53"/>
      <c r="AP5" s="53"/>
      <c r="AQ5" s="53"/>
    </row>
    <row r="6" spans="1:48" ht="15" customHeight="1" x14ac:dyDescent="0.25">
      <c r="A6" s="404" t="s">
        <v>0</v>
      </c>
      <c r="B6" s="404"/>
      <c r="C6" s="404"/>
      <c r="D6" s="404"/>
      <c r="E6" s="404"/>
      <c r="F6" s="404"/>
      <c r="G6" s="404"/>
      <c r="H6" s="404"/>
      <c r="I6" s="404"/>
      <c r="J6" s="404"/>
      <c r="K6" s="404"/>
      <c r="L6" s="404"/>
      <c r="M6" s="404"/>
      <c r="N6" s="404"/>
      <c r="O6" s="404"/>
      <c r="P6" s="404"/>
      <c r="Q6" s="404"/>
      <c r="R6" s="404"/>
      <c r="S6" s="404"/>
      <c r="T6" s="404"/>
      <c r="U6" s="404"/>
      <c r="V6" s="404"/>
      <c r="W6" s="404"/>
      <c r="X6" s="404"/>
      <c r="Y6" s="218" t="s">
        <v>51</v>
      </c>
      <c r="Z6" s="404" t="s">
        <v>104</v>
      </c>
      <c r="AA6" s="404"/>
      <c r="AB6" s="404"/>
      <c r="AC6" s="404"/>
      <c r="AD6" s="404" t="s">
        <v>53</v>
      </c>
      <c r="AE6" s="404"/>
      <c r="AF6" s="404" t="s">
        <v>52</v>
      </c>
      <c r="AG6" s="404"/>
      <c r="AH6" s="64"/>
      <c r="AI6" s="404" t="s">
        <v>1</v>
      </c>
      <c r="AJ6" s="404"/>
      <c r="AK6" s="404"/>
      <c r="AL6" s="404"/>
      <c r="AM6" s="404"/>
      <c r="AN6" s="404"/>
      <c r="AO6" s="404"/>
      <c r="AP6" s="404"/>
      <c r="AQ6" s="404"/>
    </row>
    <row r="7" spans="1:48" s="75" customFormat="1" ht="159.94999999999999" customHeight="1" thickBot="1" x14ac:dyDescent="0.25">
      <c r="A7" s="65" t="s">
        <v>74</v>
      </c>
      <c r="B7" s="66" t="s">
        <v>75</v>
      </c>
      <c r="C7" s="66" t="s">
        <v>76</v>
      </c>
      <c r="D7" s="66" t="s">
        <v>77</v>
      </c>
      <c r="E7" s="67" t="s">
        <v>78</v>
      </c>
      <c r="F7" s="66" t="s">
        <v>79</v>
      </c>
      <c r="G7" s="66" t="s">
        <v>80</v>
      </c>
      <c r="H7" s="67" t="s">
        <v>81</v>
      </c>
      <c r="I7" s="67" t="s">
        <v>82</v>
      </c>
      <c r="J7" s="67" t="s">
        <v>83</v>
      </c>
      <c r="K7" s="67" t="s">
        <v>84</v>
      </c>
      <c r="L7" s="67" t="s">
        <v>85</v>
      </c>
      <c r="M7" s="67" t="s">
        <v>86</v>
      </c>
      <c r="N7" s="67" t="s">
        <v>87</v>
      </c>
      <c r="O7" s="67" t="s">
        <v>88</v>
      </c>
      <c r="P7" s="67" t="s">
        <v>89</v>
      </c>
      <c r="Q7" s="67" t="s">
        <v>90</v>
      </c>
      <c r="R7" s="67" t="s">
        <v>91</v>
      </c>
      <c r="S7" s="67" t="s">
        <v>92</v>
      </c>
      <c r="T7" s="67" t="s">
        <v>93</v>
      </c>
      <c r="U7" s="67" t="s">
        <v>94</v>
      </c>
      <c r="V7" s="67" t="s">
        <v>95</v>
      </c>
      <c r="W7" s="67" t="s">
        <v>96</v>
      </c>
      <c r="X7" s="68" t="s">
        <v>97</v>
      </c>
      <c r="Y7" s="69"/>
      <c r="Z7" s="70" t="s">
        <v>98</v>
      </c>
      <c r="AA7" s="67" t="s">
        <v>99</v>
      </c>
      <c r="AB7" s="67" t="s">
        <v>100</v>
      </c>
      <c r="AC7" s="68" t="s">
        <v>101</v>
      </c>
      <c r="AD7" s="71" t="s">
        <v>102</v>
      </c>
      <c r="AE7" s="68" t="s">
        <v>103</v>
      </c>
      <c r="AF7" s="71" t="s">
        <v>102</v>
      </c>
      <c r="AG7" s="68" t="s">
        <v>103</v>
      </c>
      <c r="AH7" s="72" t="s">
        <v>105</v>
      </c>
      <c r="AI7" s="73" t="s">
        <v>106</v>
      </c>
      <c r="AJ7" s="67" t="s">
        <v>107</v>
      </c>
      <c r="AK7" s="67" t="s">
        <v>108</v>
      </c>
      <c r="AL7" s="67" t="s">
        <v>109</v>
      </c>
      <c r="AM7" s="67" t="s">
        <v>110</v>
      </c>
      <c r="AN7" s="67" t="s">
        <v>111</v>
      </c>
      <c r="AO7" s="74" t="s">
        <v>112</v>
      </c>
      <c r="AP7" s="74" t="s">
        <v>113</v>
      </c>
      <c r="AQ7" s="68" t="s">
        <v>114</v>
      </c>
    </row>
    <row r="8" spans="1:48" ht="15" customHeight="1" x14ac:dyDescent="0.2">
      <c r="A8" s="76"/>
      <c r="B8" s="77"/>
      <c r="C8" s="77"/>
      <c r="D8" s="77"/>
      <c r="E8" s="77"/>
      <c r="F8" s="77"/>
      <c r="G8" s="77"/>
      <c r="H8" s="77"/>
      <c r="I8" s="77"/>
      <c r="J8" s="77"/>
      <c r="K8" s="77"/>
      <c r="L8" s="77"/>
      <c r="M8" s="77"/>
      <c r="N8" s="77"/>
      <c r="O8" s="77"/>
      <c r="P8" s="77"/>
      <c r="Q8" s="77"/>
      <c r="R8" s="77"/>
      <c r="S8" s="77"/>
      <c r="T8" s="77"/>
      <c r="U8" s="77"/>
      <c r="V8" s="77"/>
      <c r="W8" s="77"/>
      <c r="X8" s="46">
        <f t="shared" ref="X8:X48" si="0">SUM(A8:W8)</f>
        <v>0</v>
      </c>
      <c r="Y8" s="34" t="s">
        <v>3</v>
      </c>
      <c r="Z8" s="31"/>
      <c r="AA8" s="32">
        <v>44</v>
      </c>
      <c r="AB8" s="32"/>
      <c r="AC8" s="33"/>
      <c r="AD8" s="78">
        <f t="shared" ref="AD8:AD14" si="1">-AE8/$D$2%</f>
        <v>-3.8847923986737274</v>
      </c>
      <c r="AE8" s="79">
        <f>AH8/AA8%</f>
        <v>3.5681818181818183</v>
      </c>
      <c r="AF8" s="36"/>
      <c r="AG8" s="35"/>
      <c r="AH8" s="80">
        <f t="shared" ref="AH8:AH14" si="2">SUM(AI8:AQ8)</f>
        <v>1.57</v>
      </c>
      <c r="AI8" s="29">
        <v>1.57</v>
      </c>
      <c r="AJ8" s="81"/>
      <c r="AK8" s="81"/>
      <c r="AL8" s="81"/>
      <c r="AM8" s="81"/>
      <c r="AN8" s="81"/>
      <c r="AO8" s="81"/>
      <c r="AP8" s="81"/>
      <c r="AQ8" s="79"/>
    </row>
    <row r="9" spans="1:48" ht="15" customHeight="1" x14ac:dyDescent="0.2">
      <c r="A9" s="76"/>
      <c r="B9" s="77"/>
      <c r="C9" s="77"/>
      <c r="D9" s="77"/>
      <c r="E9" s="77"/>
      <c r="F9" s="77"/>
      <c r="G9" s="77"/>
      <c r="H9" s="77"/>
      <c r="I9" s="77"/>
      <c r="J9" s="77"/>
      <c r="K9" s="77"/>
      <c r="L9" s="77"/>
      <c r="M9" s="77"/>
      <c r="N9" s="77"/>
      <c r="O9" s="77"/>
      <c r="P9" s="77"/>
      <c r="Q9" s="77"/>
      <c r="R9" s="77"/>
      <c r="S9" s="77"/>
      <c r="T9" s="77"/>
      <c r="U9" s="77"/>
      <c r="V9" s="77"/>
      <c r="W9" s="77"/>
      <c r="X9" s="46">
        <f t="shared" si="0"/>
        <v>0</v>
      </c>
      <c r="Y9" s="34" t="s">
        <v>4</v>
      </c>
      <c r="Z9" s="31"/>
      <c r="AA9" s="32"/>
      <c r="AB9" s="32">
        <v>90</v>
      </c>
      <c r="AC9" s="33"/>
      <c r="AD9" s="78">
        <f t="shared" si="1"/>
        <v>-1.2217988265892459</v>
      </c>
      <c r="AE9" s="79">
        <f>AH9/AB9%</f>
        <v>1.1222222222222222</v>
      </c>
      <c r="AF9" s="36"/>
      <c r="AG9" s="35"/>
      <c r="AH9" s="80">
        <f t="shared" si="2"/>
        <v>1.01</v>
      </c>
      <c r="AI9" s="30">
        <v>1.01</v>
      </c>
      <c r="AJ9" s="81"/>
      <c r="AK9" s="81"/>
      <c r="AL9" s="81"/>
      <c r="AM9" s="81"/>
      <c r="AN9" s="81"/>
      <c r="AO9" s="81"/>
      <c r="AP9" s="81"/>
      <c r="AQ9" s="79"/>
      <c r="AV9" s="83"/>
    </row>
    <row r="10" spans="1:48" ht="15" customHeight="1" x14ac:dyDescent="0.2">
      <c r="A10" s="76"/>
      <c r="B10" s="77"/>
      <c r="C10" s="77"/>
      <c r="D10" s="77"/>
      <c r="E10" s="77"/>
      <c r="F10" s="77"/>
      <c r="G10" s="77"/>
      <c r="H10" s="77"/>
      <c r="I10" s="77"/>
      <c r="J10" s="77"/>
      <c r="K10" s="77"/>
      <c r="L10" s="77"/>
      <c r="M10" s="77"/>
      <c r="N10" s="77"/>
      <c r="O10" s="77"/>
      <c r="P10" s="77"/>
      <c r="Q10" s="77"/>
      <c r="R10" s="77"/>
      <c r="S10" s="77"/>
      <c r="T10" s="77"/>
      <c r="U10" s="77"/>
      <c r="V10" s="77"/>
      <c r="W10" s="77"/>
      <c r="X10" s="46">
        <f t="shared" si="0"/>
        <v>0</v>
      </c>
      <c r="Y10" s="34" t="s">
        <v>5</v>
      </c>
      <c r="Z10" s="31"/>
      <c r="AA10" s="32"/>
      <c r="AB10" s="32">
        <v>100</v>
      </c>
      <c r="AC10" s="33"/>
      <c r="AD10" s="78">
        <f t="shared" si="1"/>
        <v>-4.9750680457267276</v>
      </c>
      <c r="AE10" s="79">
        <f>AH10/AB10%</f>
        <v>4.5695999999999994</v>
      </c>
      <c r="AF10" s="36"/>
      <c r="AG10" s="35"/>
      <c r="AH10" s="80">
        <f t="shared" si="2"/>
        <v>4.5695999999999994</v>
      </c>
      <c r="AI10" s="318">
        <f>'2018'!AI10*(1+G95)</f>
        <v>4.5695999999999994</v>
      </c>
      <c r="AJ10" s="81"/>
      <c r="AK10" s="81"/>
      <c r="AL10" s="81"/>
      <c r="AM10" s="81"/>
      <c r="AN10" s="81"/>
      <c r="AO10" s="81"/>
      <c r="AP10" s="81"/>
      <c r="AQ10" s="79"/>
      <c r="AV10" s="84"/>
    </row>
    <row r="11" spans="1:48" ht="15" customHeight="1" x14ac:dyDescent="0.2">
      <c r="A11" s="76"/>
      <c r="B11" s="77"/>
      <c r="C11" s="77"/>
      <c r="D11" s="77"/>
      <c r="E11" s="77"/>
      <c r="F11" s="77"/>
      <c r="G11" s="77"/>
      <c r="H11" s="77"/>
      <c r="I11" s="77"/>
      <c r="J11" s="77"/>
      <c r="K11" s="77"/>
      <c r="L11" s="77"/>
      <c r="M11" s="77"/>
      <c r="N11" s="77"/>
      <c r="O11" s="77"/>
      <c r="P11" s="77"/>
      <c r="Q11" s="77"/>
      <c r="R11" s="77"/>
      <c r="S11" s="77"/>
      <c r="T11" s="77"/>
      <c r="U11" s="77"/>
      <c r="V11" s="77"/>
      <c r="W11" s="77"/>
      <c r="X11" s="46">
        <f t="shared" si="0"/>
        <v>0</v>
      </c>
      <c r="Y11" s="34" t="s">
        <v>18</v>
      </c>
      <c r="Z11" s="31"/>
      <c r="AA11" s="32">
        <v>50</v>
      </c>
      <c r="AB11" s="32"/>
      <c r="AC11" s="33"/>
      <c r="AD11" s="78">
        <f t="shared" si="1"/>
        <v>-8.9929232444202505</v>
      </c>
      <c r="AE11" s="79">
        <f>AH11/AA11%</f>
        <v>8.26</v>
      </c>
      <c r="AF11" s="36"/>
      <c r="AG11" s="35"/>
      <c r="AH11" s="80">
        <f t="shared" si="2"/>
        <v>4.13</v>
      </c>
      <c r="AI11" s="30">
        <v>1.79</v>
      </c>
      <c r="AJ11" s="29">
        <v>0.52</v>
      </c>
      <c r="AK11" s="29">
        <v>0.49</v>
      </c>
      <c r="AL11" s="29">
        <v>0.82000000000000006</v>
      </c>
      <c r="AM11" s="29">
        <v>0</v>
      </c>
      <c r="AN11" s="29">
        <v>0</v>
      </c>
      <c r="AO11" s="29">
        <v>0</v>
      </c>
      <c r="AP11" s="29">
        <v>0.51</v>
      </c>
      <c r="AQ11" s="79"/>
      <c r="AV11" s="84"/>
    </row>
    <row r="12" spans="1:48" ht="15" customHeight="1" x14ac:dyDescent="0.2">
      <c r="A12" s="76"/>
      <c r="B12" s="77"/>
      <c r="C12" s="77"/>
      <c r="D12" s="77"/>
      <c r="E12" s="77"/>
      <c r="F12" s="77"/>
      <c r="G12" s="77"/>
      <c r="H12" s="77"/>
      <c r="I12" s="77"/>
      <c r="J12" s="77"/>
      <c r="K12" s="77"/>
      <c r="L12" s="77"/>
      <c r="M12" s="77"/>
      <c r="N12" s="77"/>
      <c r="O12" s="77"/>
      <c r="P12" s="77"/>
      <c r="Q12" s="77"/>
      <c r="R12" s="77"/>
      <c r="S12" s="77"/>
      <c r="T12" s="77"/>
      <c r="U12" s="77"/>
      <c r="V12" s="77"/>
      <c r="W12" s="77"/>
      <c r="X12" s="46">
        <f t="shared" si="0"/>
        <v>0</v>
      </c>
      <c r="Y12" s="34" t="s">
        <v>19</v>
      </c>
      <c r="Z12" s="31"/>
      <c r="AA12" s="32">
        <v>150</v>
      </c>
      <c r="AB12" s="32"/>
      <c r="AC12" s="33"/>
      <c r="AD12" s="78">
        <f t="shared" si="1"/>
        <v>-8.020322990382871</v>
      </c>
      <c r="AE12" s="79">
        <f>AH12/AA12%</f>
        <v>7.3666666666666671</v>
      </c>
      <c r="AF12" s="36"/>
      <c r="AG12" s="35"/>
      <c r="AH12" s="80">
        <f t="shared" si="2"/>
        <v>11.05</v>
      </c>
      <c r="AI12" s="30">
        <v>6.33</v>
      </c>
      <c r="AJ12" s="29">
        <v>0</v>
      </c>
      <c r="AK12" s="29">
        <v>1.6600000000000001</v>
      </c>
      <c r="AL12" s="29">
        <v>2.7600000000000002</v>
      </c>
      <c r="AM12" s="29">
        <v>0</v>
      </c>
      <c r="AN12" s="29">
        <v>0</v>
      </c>
      <c r="AO12" s="29">
        <v>0</v>
      </c>
      <c r="AP12" s="29">
        <v>0.3</v>
      </c>
      <c r="AQ12" s="85"/>
      <c r="AV12" s="84"/>
    </row>
    <row r="13" spans="1:48" ht="15" customHeight="1" x14ac:dyDescent="0.2">
      <c r="A13" s="76"/>
      <c r="B13" s="77"/>
      <c r="C13" s="77"/>
      <c r="D13" s="77"/>
      <c r="E13" s="77"/>
      <c r="F13" s="77"/>
      <c r="G13" s="77"/>
      <c r="H13" s="77"/>
      <c r="I13" s="77"/>
      <c r="J13" s="77"/>
      <c r="K13" s="77"/>
      <c r="L13" s="77"/>
      <c r="M13" s="77"/>
      <c r="N13" s="77"/>
      <c r="O13" s="77"/>
      <c r="P13" s="77"/>
      <c r="Q13" s="77"/>
      <c r="R13" s="77"/>
      <c r="S13" s="77"/>
      <c r="T13" s="77"/>
      <c r="U13" s="77"/>
      <c r="V13" s="77"/>
      <c r="W13" s="77"/>
      <c r="X13" s="46">
        <f t="shared" si="0"/>
        <v>0</v>
      </c>
      <c r="Y13" s="34" t="s">
        <v>71</v>
      </c>
      <c r="Z13" s="31"/>
      <c r="AA13" s="32">
        <v>85</v>
      </c>
      <c r="AB13" s="32"/>
      <c r="AC13" s="33"/>
      <c r="AD13" s="78">
        <f t="shared" si="1"/>
        <v>-31.60704058663422</v>
      </c>
      <c r="AE13" s="79">
        <f>AH13/AA13%</f>
        <v>29.031066778823529</v>
      </c>
      <c r="AF13" s="36"/>
      <c r="AG13" s="35"/>
      <c r="AH13" s="80">
        <f t="shared" si="2"/>
        <v>24.676406761999999</v>
      </c>
      <c r="AI13" s="30">
        <v>9.94</v>
      </c>
      <c r="AJ13" s="29">
        <v>2.4</v>
      </c>
      <c r="AK13" s="29">
        <v>1.58</v>
      </c>
      <c r="AL13" s="29">
        <v>2.62</v>
      </c>
      <c r="AM13" s="29">
        <v>0</v>
      </c>
      <c r="AN13" s="29">
        <v>0</v>
      </c>
      <c r="AO13" s="29">
        <v>0</v>
      </c>
      <c r="AP13" s="29">
        <v>4.72</v>
      </c>
      <c r="AQ13" s="229">
        <f>O122+O116</f>
        <v>3.4164067620000003</v>
      </c>
      <c r="AS13" s="86"/>
      <c r="AV13" s="84"/>
    </row>
    <row r="14" spans="1:48" ht="15" customHeight="1" x14ac:dyDescent="0.2">
      <c r="A14" s="76"/>
      <c r="B14" s="77"/>
      <c r="C14" s="77"/>
      <c r="D14" s="77"/>
      <c r="E14" s="77"/>
      <c r="F14" s="77"/>
      <c r="G14" s="77"/>
      <c r="H14" s="77"/>
      <c r="I14" s="77"/>
      <c r="J14" s="77"/>
      <c r="K14" s="77"/>
      <c r="L14" s="77"/>
      <c r="M14" s="77"/>
      <c r="N14" s="81">
        <f>AH14-AE14</f>
        <v>7.7088000000000001</v>
      </c>
      <c r="O14" s="77"/>
      <c r="P14" s="77"/>
      <c r="Q14" s="77"/>
      <c r="R14" s="77"/>
      <c r="S14" s="77"/>
      <c r="T14" s="77"/>
      <c r="U14" s="77"/>
      <c r="V14" s="77"/>
      <c r="W14" s="77"/>
      <c r="X14" s="46">
        <f t="shared" si="0"/>
        <v>7.7088000000000001</v>
      </c>
      <c r="Y14" s="34" t="s">
        <v>54</v>
      </c>
      <c r="Z14" s="31"/>
      <c r="AA14" s="32"/>
      <c r="AB14" s="32">
        <v>300</v>
      </c>
      <c r="AC14" s="33"/>
      <c r="AD14" s="78">
        <f t="shared" si="1"/>
        <v>-4.1964071856287424</v>
      </c>
      <c r="AE14" s="229">
        <f>'2018'!AE14*(1+G95)+((G106+G113)/AB14%)</f>
        <v>3.8543999999999996</v>
      </c>
      <c r="AF14" s="36"/>
      <c r="AG14" s="35"/>
      <c r="AH14" s="80">
        <f t="shared" si="2"/>
        <v>11.5632</v>
      </c>
      <c r="AI14" s="39">
        <f>AE14*AB14/100</f>
        <v>11.5632</v>
      </c>
      <c r="AJ14" s="38"/>
      <c r="AK14" s="38"/>
      <c r="AL14" s="38"/>
      <c r="AM14" s="38"/>
      <c r="AN14" s="38"/>
      <c r="AO14" s="38"/>
      <c r="AP14" s="38"/>
      <c r="AQ14" s="46"/>
      <c r="AV14" s="84"/>
    </row>
    <row r="15" spans="1:48" ht="15" customHeight="1" x14ac:dyDescent="0.2">
      <c r="A15" s="78">
        <f>Z15%*AD15</f>
        <v>44.480998126055781</v>
      </c>
      <c r="B15" s="77"/>
      <c r="C15" s="77"/>
      <c r="D15" s="77"/>
      <c r="E15" s="77"/>
      <c r="F15" s="77"/>
      <c r="G15" s="81"/>
      <c r="H15" s="81"/>
      <c r="I15" s="81"/>
      <c r="J15" s="81"/>
      <c r="K15" s="81"/>
      <c r="L15" s="77"/>
      <c r="M15" s="77"/>
      <c r="N15" s="77"/>
      <c r="O15" s="77"/>
      <c r="P15" s="77"/>
      <c r="Q15" s="77"/>
      <c r="R15" s="77"/>
      <c r="S15" s="77"/>
      <c r="T15" s="77"/>
      <c r="U15" s="77"/>
      <c r="V15" s="77"/>
      <c r="W15" s="77"/>
      <c r="X15" s="46">
        <f t="shared" si="0"/>
        <v>44.480998126055781</v>
      </c>
      <c r="Y15" s="34" t="s">
        <v>34</v>
      </c>
      <c r="Z15" s="31">
        <v>100</v>
      </c>
      <c r="AA15" s="32"/>
      <c r="AB15" s="32"/>
      <c r="AC15" s="33"/>
      <c r="AD15" s="31">
        <f>-SUM(AD16:AD80,AD8:AD14)</f>
        <v>44.480998126055781</v>
      </c>
      <c r="AE15" s="35"/>
      <c r="AF15" s="36"/>
      <c r="AG15" s="35"/>
      <c r="AH15" s="43">
        <f t="shared" ref="AH15:AH52" si="3">SUM(AI15:AQ15)</f>
        <v>0</v>
      </c>
      <c r="AI15" s="36"/>
      <c r="AJ15" s="38"/>
      <c r="AK15" s="38"/>
      <c r="AL15" s="38"/>
      <c r="AM15" s="38"/>
      <c r="AN15" s="38"/>
      <c r="AO15" s="38"/>
      <c r="AP15" s="38"/>
      <c r="AQ15" s="46"/>
      <c r="AV15" s="84"/>
    </row>
    <row r="16" spans="1:48" ht="15" customHeight="1" x14ac:dyDescent="0.2">
      <c r="A16" s="87"/>
      <c r="B16" s="29">
        <v>0.89</v>
      </c>
      <c r="C16" s="88"/>
      <c r="D16" s="88"/>
      <c r="E16" s="88"/>
      <c r="F16" s="88"/>
      <c r="G16" s="89"/>
      <c r="H16" s="89"/>
      <c r="I16" s="89"/>
      <c r="J16" s="89"/>
      <c r="K16" s="89"/>
      <c r="L16" s="88"/>
      <c r="M16" s="88"/>
      <c r="N16" s="88"/>
      <c r="O16" s="88"/>
      <c r="P16" s="88"/>
      <c r="Q16" s="88"/>
      <c r="R16" s="88"/>
      <c r="S16" s="88"/>
      <c r="T16" s="88"/>
      <c r="U16" s="88"/>
      <c r="V16" s="88"/>
      <c r="W16" s="88"/>
      <c r="X16" s="90">
        <f t="shared" si="0"/>
        <v>0.89</v>
      </c>
      <c r="Y16" s="41" t="s">
        <v>72</v>
      </c>
      <c r="Z16" s="170"/>
      <c r="AA16" s="171"/>
      <c r="AB16" s="40">
        <v>38</v>
      </c>
      <c r="AC16" s="172"/>
      <c r="AD16" s="170"/>
      <c r="AE16" s="172"/>
      <c r="AF16" s="170"/>
      <c r="AG16" s="172"/>
      <c r="AH16" s="43">
        <f t="shared" si="3"/>
        <v>0.33819999999999995</v>
      </c>
      <c r="AI16" s="368">
        <f>X16*AB16/100*0.35</f>
        <v>0.11836999999999999</v>
      </c>
      <c r="AJ16" s="369">
        <f>X16*AB16/100*0.07</f>
        <v>2.3674000000000001E-2</v>
      </c>
      <c r="AK16" s="369">
        <f>X16*AB16/100*0.06</f>
        <v>2.0292000000000001E-2</v>
      </c>
      <c r="AL16" s="369">
        <f>X16*AB16/100*0.03</f>
        <v>1.0146000000000001E-2</v>
      </c>
      <c r="AM16" s="369">
        <f>X16*AB16/100*0.04</f>
        <v>1.3528E-2</v>
      </c>
      <c r="AN16" s="369">
        <f>X16*AB16/100*0.38</f>
        <v>0.12851599999999999</v>
      </c>
      <c r="AO16" s="369"/>
      <c r="AP16" s="369">
        <f>X16*AB16/100*0.07</f>
        <v>2.3674000000000001E-2</v>
      </c>
      <c r="AQ16" s="92"/>
      <c r="AV16" s="84"/>
    </row>
    <row r="17" spans="1:48" ht="15" customHeight="1" x14ac:dyDescent="0.2">
      <c r="A17" s="76"/>
      <c r="B17" s="77"/>
      <c r="C17" s="77"/>
      <c r="D17" s="77"/>
      <c r="E17" s="230">
        <f>E104*(1+G95)</f>
        <v>7.1279999999999992</v>
      </c>
      <c r="F17" s="77"/>
      <c r="G17" s="81"/>
      <c r="H17" s="81"/>
      <c r="I17" s="81"/>
      <c r="J17" s="81"/>
      <c r="K17" s="81"/>
      <c r="L17" s="77"/>
      <c r="M17" s="77"/>
      <c r="N17" s="81"/>
      <c r="O17" s="81"/>
      <c r="P17" s="81"/>
      <c r="Q17" s="81"/>
      <c r="R17" s="81"/>
      <c r="S17" s="81"/>
      <c r="T17" s="81"/>
      <c r="U17" s="81"/>
      <c r="V17" s="81"/>
      <c r="W17" s="81"/>
      <c r="X17" s="46">
        <f t="shared" si="0"/>
        <v>7.1279999999999992</v>
      </c>
      <c r="Y17" s="34" t="s">
        <v>55</v>
      </c>
      <c r="Z17" s="31"/>
      <c r="AA17" s="32"/>
      <c r="AB17" s="38">
        <v>80</v>
      </c>
      <c r="AC17" s="33"/>
      <c r="AD17" s="31"/>
      <c r="AE17" s="33"/>
      <c r="AF17" s="31"/>
      <c r="AG17" s="33"/>
      <c r="AH17" s="43">
        <f t="shared" si="3"/>
        <v>5.702399999999999</v>
      </c>
      <c r="AI17" s="42">
        <f t="shared" ref="AI17:AI22" si="4">X17*AB17/100</f>
        <v>5.702399999999999</v>
      </c>
      <c r="AJ17" s="32"/>
      <c r="AK17" s="32"/>
      <c r="AL17" s="32"/>
      <c r="AM17" s="32"/>
      <c r="AN17" s="32"/>
      <c r="AO17" s="32"/>
      <c r="AP17" s="32"/>
      <c r="AQ17" s="46"/>
      <c r="AS17" s="84"/>
    </row>
    <row r="18" spans="1:48" ht="15" customHeight="1" x14ac:dyDescent="0.2">
      <c r="A18" s="76"/>
      <c r="B18" s="77"/>
      <c r="C18" s="77"/>
      <c r="D18" s="77"/>
      <c r="E18" s="77"/>
      <c r="F18" s="77"/>
      <c r="G18" s="81"/>
      <c r="H18" s="81"/>
      <c r="I18" s="230">
        <f>E111*0.96</f>
        <v>0</v>
      </c>
      <c r="J18" s="81"/>
      <c r="K18" s="81"/>
      <c r="L18" s="77"/>
      <c r="M18" s="77"/>
      <c r="N18" s="81"/>
      <c r="O18" s="81"/>
      <c r="P18" s="81"/>
      <c r="Q18" s="81"/>
      <c r="R18" s="81"/>
      <c r="S18" s="81"/>
      <c r="T18" s="81"/>
      <c r="U18" s="81"/>
      <c r="V18" s="81"/>
      <c r="W18" s="81"/>
      <c r="X18" s="46">
        <f t="shared" si="0"/>
        <v>0</v>
      </c>
      <c r="Y18" s="34" t="s">
        <v>56</v>
      </c>
      <c r="Z18" s="31"/>
      <c r="AA18" s="32"/>
      <c r="AB18" s="38">
        <v>85</v>
      </c>
      <c r="AC18" s="33"/>
      <c r="AD18" s="31"/>
      <c r="AE18" s="33"/>
      <c r="AF18" s="31"/>
      <c r="AG18" s="33"/>
      <c r="AH18" s="43">
        <f t="shared" si="3"/>
        <v>0</v>
      </c>
      <c r="AI18" s="42">
        <f t="shared" si="4"/>
        <v>0</v>
      </c>
      <c r="AJ18" s="32"/>
      <c r="AK18" s="32"/>
      <c r="AL18" s="32"/>
      <c r="AM18" s="32"/>
      <c r="AN18" s="32"/>
      <c r="AO18" s="32"/>
      <c r="AP18" s="32"/>
      <c r="AQ18" s="46"/>
      <c r="AS18" s="84"/>
    </row>
    <row r="19" spans="1:48" ht="15" customHeight="1" x14ac:dyDescent="0.2">
      <c r="A19" s="76"/>
      <c r="B19" s="77"/>
      <c r="C19" s="77"/>
      <c r="D19" s="77"/>
      <c r="E19" s="77"/>
      <c r="F19" s="77"/>
      <c r="G19" s="81"/>
      <c r="H19" s="81"/>
      <c r="I19" s="81"/>
      <c r="J19" s="81"/>
      <c r="K19" s="81"/>
      <c r="L19" s="77"/>
      <c r="M19" s="77"/>
      <c r="N19" s="81"/>
      <c r="O19" s="81"/>
      <c r="P19" s="81"/>
      <c r="Q19" s="81"/>
      <c r="R19" s="81"/>
      <c r="S19" s="230">
        <f>'2018'!S19*(1+G95)+(G107+G114)/AB19%</f>
        <v>9.9071999999999996</v>
      </c>
      <c r="T19" s="81"/>
      <c r="U19" s="81"/>
      <c r="V19" s="81"/>
      <c r="W19" s="81"/>
      <c r="X19" s="46">
        <f t="shared" si="0"/>
        <v>9.9071999999999996</v>
      </c>
      <c r="Y19" s="34" t="s">
        <v>57</v>
      </c>
      <c r="Z19" s="31"/>
      <c r="AA19" s="32"/>
      <c r="AB19" s="38">
        <v>75</v>
      </c>
      <c r="AC19" s="33"/>
      <c r="AD19" s="31"/>
      <c r="AE19" s="33"/>
      <c r="AF19" s="31"/>
      <c r="AG19" s="33"/>
      <c r="AH19" s="43">
        <f t="shared" si="3"/>
        <v>7.4303999999999997</v>
      </c>
      <c r="AI19" s="42">
        <f t="shared" si="4"/>
        <v>7.4303999999999997</v>
      </c>
      <c r="AJ19" s="32"/>
      <c r="AK19" s="32"/>
      <c r="AL19" s="32"/>
      <c r="AM19" s="32"/>
      <c r="AN19" s="32"/>
      <c r="AO19" s="32"/>
      <c r="AP19" s="32"/>
      <c r="AQ19" s="46"/>
      <c r="AV19" s="84"/>
    </row>
    <row r="20" spans="1:48" ht="15" customHeight="1" x14ac:dyDescent="0.2">
      <c r="A20" s="76"/>
      <c r="B20" s="77"/>
      <c r="C20" s="77"/>
      <c r="D20" s="77"/>
      <c r="E20" s="77"/>
      <c r="F20" s="77"/>
      <c r="G20" s="81"/>
      <c r="H20" s="81"/>
      <c r="I20" s="81"/>
      <c r="J20" s="81"/>
      <c r="K20" s="81"/>
      <c r="L20" s="77"/>
      <c r="M20" s="77"/>
      <c r="N20" s="81"/>
      <c r="O20" s="81"/>
      <c r="P20" s="81"/>
      <c r="Q20" s="81"/>
      <c r="R20" s="230">
        <f>'2018'!R20*(1+G95)</f>
        <v>28.310399999999998</v>
      </c>
      <c r="S20" s="81"/>
      <c r="T20" s="81"/>
      <c r="U20" s="81"/>
      <c r="V20" s="81"/>
      <c r="W20" s="81"/>
      <c r="X20" s="46">
        <f t="shared" si="0"/>
        <v>28.310399999999998</v>
      </c>
      <c r="Y20" s="34" t="s">
        <v>58</v>
      </c>
      <c r="Z20" s="31"/>
      <c r="AA20" s="32"/>
      <c r="AB20" s="38">
        <v>65</v>
      </c>
      <c r="AC20" s="33"/>
      <c r="AD20" s="31"/>
      <c r="AE20" s="33"/>
      <c r="AF20" s="31"/>
      <c r="AG20" s="33"/>
      <c r="AH20" s="43">
        <f t="shared" si="3"/>
        <v>18.401759999999999</v>
      </c>
      <c r="AI20" s="42">
        <f t="shared" si="4"/>
        <v>18.401759999999999</v>
      </c>
      <c r="AJ20" s="32"/>
      <c r="AK20" s="32"/>
      <c r="AL20" s="32"/>
      <c r="AM20" s="32"/>
      <c r="AN20" s="32"/>
      <c r="AO20" s="32"/>
      <c r="AP20" s="32"/>
      <c r="AQ20" s="46"/>
      <c r="AS20" s="84"/>
    </row>
    <row r="21" spans="1:48" ht="15" customHeight="1" x14ac:dyDescent="0.2">
      <c r="A21" s="76"/>
      <c r="B21" s="77"/>
      <c r="C21" s="77"/>
      <c r="D21" s="77"/>
      <c r="E21" s="77"/>
      <c r="F21" s="77"/>
      <c r="G21" s="81"/>
      <c r="H21" s="81"/>
      <c r="I21" s="81"/>
      <c r="J21" s="81"/>
      <c r="K21" s="81"/>
      <c r="L21" s="77"/>
      <c r="M21" s="77"/>
      <c r="N21" s="81"/>
      <c r="O21" s="81"/>
      <c r="P21" s="81"/>
      <c r="Q21" s="230">
        <f>'2018'!Q21*(1+G95)</f>
        <v>1.1712</v>
      </c>
      <c r="R21" s="81"/>
      <c r="S21" s="81"/>
      <c r="T21" s="81"/>
      <c r="U21" s="81"/>
      <c r="V21" s="81"/>
      <c r="W21" s="81"/>
      <c r="X21" s="46">
        <f t="shared" si="0"/>
        <v>1.1712</v>
      </c>
      <c r="Y21" s="34" t="s">
        <v>59</v>
      </c>
      <c r="Z21" s="31"/>
      <c r="AA21" s="32"/>
      <c r="AB21" s="38">
        <v>65</v>
      </c>
      <c r="AC21" s="33"/>
      <c r="AD21" s="31"/>
      <c r="AE21" s="33"/>
      <c r="AF21" s="31"/>
      <c r="AG21" s="33"/>
      <c r="AH21" s="43">
        <f t="shared" si="3"/>
        <v>0.76127999999999996</v>
      </c>
      <c r="AI21" s="42">
        <f t="shared" si="4"/>
        <v>0.76127999999999996</v>
      </c>
      <c r="AJ21" s="32"/>
      <c r="AK21" s="32"/>
      <c r="AL21" s="32"/>
      <c r="AM21" s="32"/>
      <c r="AN21" s="32"/>
      <c r="AO21" s="32"/>
      <c r="AP21" s="32"/>
      <c r="AQ21" s="46"/>
      <c r="AS21" s="84"/>
    </row>
    <row r="22" spans="1:48" ht="15" customHeight="1" x14ac:dyDescent="0.2">
      <c r="A22" s="31"/>
      <c r="B22" s="32"/>
      <c r="C22" s="32"/>
      <c r="D22" s="32"/>
      <c r="E22" s="32"/>
      <c r="F22" s="32"/>
      <c r="G22" s="32"/>
      <c r="H22" s="32"/>
      <c r="I22" s="37"/>
      <c r="J22" s="32"/>
      <c r="K22" s="32"/>
      <c r="L22" s="398">
        <f>0.91*(1+G95)</f>
        <v>0.87360000000000004</v>
      </c>
      <c r="M22" s="32"/>
      <c r="N22" s="38"/>
      <c r="O22" s="38"/>
      <c r="P22" s="38"/>
      <c r="Q22" s="38"/>
      <c r="R22" s="38"/>
      <c r="S22" s="38"/>
      <c r="T22" s="38"/>
      <c r="U22" s="38"/>
      <c r="V22" s="38"/>
      <c r="W22" s="38"/>
      <c r="X22" s="46">
        <f t="shared" si="0"/>
        <v>0.87360000000000004</v>
      </c>
      <c r="Y22" s="34" t="s">
        <v>6</v>
      </c>
      <c r="Z22" s="31"/>
      <c r="AA22" s="32"/>
      <c r="AB22" s="32">
        <v>100</v>
      </c>
      <c r="AC22" s="33"/>
      <c r="AD22" s="31"/>
      <c r="AE22" s="33"/>
      <c r="AF22" s="31"/>
      <c r="AG22" s="33"/>
      <c r="AH22" s="43">
        <f t="shared" si="3"/>
        <v>0.87360000000000004</v>
      </c>
      <c r="AI22" s="42">
        <f t="shared" si="4"/>
        <v>0.87360000000000004</v>
      </c>
      <c r="AJ22" s="32"/>
      <c r="AK22" s="32"/>
      <c r="AL22" s="32"/>
      <c r="AM22" s="32"/>
      <c r="AN22" s="32"/>
      <c r="AO22" s="32"/>
      <c r="AP22" s="32"/>
      <c r="AQ22" s="46"/>
      <c r="AS22" s="86"/>
      <c r="AV22" s="84"/>
    </row>
    <row r="23" spans="1:48" ht="15" customHeight="1" x14ac:dyDescent="0.2">
      <c r="A23" s="31"/>
      <c r="B23" s="32"/>
      <c r="C23" s="38"/>
      <c r="D23" s="38"/>
      <c r="E23" s="29"/>
      <c r="F23" s="38"/>
      <c r="G23" s="38"/>
      <c r="H23" s="38"/>
      <c r="I23" s="37"/>
      <c r="J23" s="38"/>
      <c r="K23" s="38"/>
      <c r="L23" s="38"/>
      <c r="M23" s="38"/>
      <c r="N23" s="38"/>
      <c r="O23" s="38"/>
      <c r="P23" s="38"/>
      <c r="Q23" s="38"/>
      <c r="R23" s="38"/>
      <c r="S23" s="38"/>
      <c r="T23" s="38"/>
      <c r="U23" s="38"/>
      <c r="V23" s="38"/>
      <c r="W23" s="38"/>
      <c r="X23" s="46">
        <f t="shared" si="0"/>
        <v>0</v>
      </c>
      <c r="Y23" s="34" t="s">
        <v>60</v>
      </c>
      <c r="Z23" s="31"/>
      <c r="AA23" s="32">
        <v>90</v>
      </c>
      <c r="AB23" s="32"/>
      <c r="AC23" s="33"/>
      <c r="AD23" s="31"/>
      <c r="AE23" s="33"/>
      <c r="AF23" s="31"/>
      <c r="AG23" s="33"/>
      <c r="AH23" s="43">
        <f t="shared" si="3"/>
        <v>0</v>
      </c>
      <c r="AI23" s="42"/>
      <c r="AJ23" s="32"/>
      <c r="AK23" s="32"/>
      <c r="AL23" s="32"/>
      <c r="AM23" s="32"/>
      <c r="AN23" s="32">
        <f>X23*AA23/100</f>
        <v>0</v>
      </c>
      <c r="AO23" s="32"/>
      <c r="AP23" s="32"/>
      <c r="AQ23" s="46"/>
      <c r="AV23" s="84"/>
    </row>
    <row r="24" spans="1:48" ht="15" customHeight="1" x14ac:dyDescent="0.2">
      <c r="A24" s="31"/>
      <c r="B24" s="32"/>
      <c r="C24" s="38"/>
      <c r="D24" s="38"/>
      <c r="E24" s="38"/>
      <c r="F24" s="38"/>
      <c r="G24" s="38"/>
      <c r="H24" s="38"/>
      <c r="I24" s="29"/>
      <c r="J24" s="38"/>
      <c r="K24" s="38"/>
      <c r="L24" s="38"/>
      <c r="M24" s="38"/>
      <c r="N24" s="38"/>
      <c r="O24" s="38"/>
      <c r="P24" s="38"/>
      <c r="Q24" s="38"/>
      <c r="R24" s="38"/>
      <c r="S24" s="38"/>
      <c r="T24" s="38"/>
      <c r="U24" s="38"/>
      <c r="V24" s="38"/>
      <c r="W24" s="38"/>
      <c r="X24" s="46">
        <f t="shared" si="0"/>
        <v>0</v>
      </c>
      <c r="Y24" s="34" t="s">
        <v>61</v>
      </c>
      <c r="Z24" s="31"/>
      <c r="AA24" s="32">
        <v>90</v>
      </c>
      <c r="AB24" s="32"/>
      <c r="AC24" s="33"/>
      <c r="AD24" s="31"/>
      <c r="AE24" s="33"/>
      <c r="AF24" s="31"/>
      <c r="AG24" s="33"/>
      <c r="AH24" s="43">
        <f t="shared" si="3"/>
        <v>0</v>
      </c>
      <c r="AI24" s="42"/>
      <c r="AJ24" s="32"/>
      <c r="AK24" s="32"/>
      <c r="AL24" s="32"/>
      <c r="AM24" s="32"/>
      <c r="AN24" s="32">
        <f>X24*AA24/100</f>
        <v>0</v>
      </c>
      <c r="AO24" s="32"/>
      <c r="AP24" s="32"/>
      <c r="AQ24" s="46"/>
      <c r="AS24" s="84"/>
    </row>
    <row r="25" spans="1:48" ht="15" customHeight="1" x14ac:dyDescent="0.2">
      <c r="A25" s="31"/>
      <c r="B25" s="32"/>
      <c r="C25" s="29"/>
      <c r="D25" s="29"/>
      <c r="E25" s="37"/>
      <c r="F25" s="37"/>
      <c r="G25" s="37"/>
      <c r="H25" s="37"/>
      <c r="I25" s="37"/>
      <c r="J25" s="37"/>
      <c r="K25" s="37"/>
      <c r="L25" s="37"/>
      <c r="M25" s="37"/>
      <c r="N25" s="37"/>
      <c r="O25" s="371"/>
      <c r="P25" s="37"/>
      <c r="Q25" s="37"/>
      <c r="R25" s="37"/>
      <c r="S25" s="29">
        <v>10</v>
      </c>
      <c r="T25" s="371"/>
      <c r="U25" s="37"/>
      <c r="V25" s="37"/>
      <c r="W25" s="29"/>
      <c r="X25" s="46">
        <f t="shared" si="0"/>
        <v>10</v>
      </c>
      <c r="Y25" s="34" t="s">
        <v>240</v>
      </c>
      <c r="Z25" s="31"/>
      <c r="AA25" s="32">
        <v>90</v>
      </c>
      <c r="AB25" s="32"/>
      <c r="AC25" s="33"/>
      <c r="AD25" s="31"/>
      <c r="AE25" s="33"/>
      <c r="AF25" s="31"/>
      <c r="AG25" s="33"/>
      <c r="AH25" s="43">
        <f t="shared" si="3"/>
        <v>9</v>
      </c>
      <c r="AI25" s="39"/>
      <c r="AJ25" s="38"/>
      <c r="AK25" s="38"/>
      <c r="AL25" s="38"/>
      <c r="AM25" s="38"/>
      <c r="AN25" s="38">
        <f>X25*AA25/100</f>
        <v>9</v>
      </c>
      <c r="AO25" s="38"/>
      <c r="AP25" s="38"/>
      <c r="AQ25" s="46"/>
      <c r="AR25" s="62"/>
      <c r="AS25" s="84"/>
    </row>
    <row r="26" spans="1:48" ht="15" customHeight="1" x14ac:dyDescent="0.2">
      <c r="A26" s="31"/>
      <c r="B26" s="32"/>
      <c r="C26" s="32"/>
      <c r="D26" s="32"/>
      <c r="E26" s="32"/>
      <c r="F26" s="32"/>
      <c r="G26" s="32"/>
      <c r="H26" s="38"/>
      <c r="I26" s="38"/>
      <c r="J26" s="38"/>
      <c r="K26" s="38"/>
      <c r="L26" s="29">
        <v>18.14</v>
      </c>
      <c r="M26" s="38"/>
      <c r="N26" s="38"/>
      <c r="O26" s="38"/>
      <c r="P26" s="38"/>
      <c r="Q26" s="38"/>
      <c r="R26" s="38"/>
      <c r="S26" s="38"/>
      <c r="T26" s="38"/>
      <c r="U26" s="38"/>
      <c r="V26" s="38"/>
      <c r="W26" s="38"/>
      <c r="X26" s="46">
        <f t="shared" si="0"/>
        <v>18.14</v>
      </c>
      <c r="Y26" s="34" t="s">
        <v>45</v>
      </c>
      <c r="Z26" s="32">
        <v>100</v>
      </c>
      <c r="AA26" s="32"/>
      <c r="AB26" s="32"/>
      <c r="AC26" s="33"/>
      <c r="AD26" s="31">
        <f>X26*Z26/100</f>
        <v>18.14</v>
      </c>
      <c r="AE26" s="33"/>
      <c r="AF26" s="31"/>
      <c r="AG26" s="33"/>
      <c r="AH26" s="43">
        <f t="shared" si="3"/>
        <v>0</v>
      </c>
      <c r="AI26" s="39"/>
      <c r="AJ26" s="38"/>
      <c r="AK26" s="38"/>
      <c r="AL26" s="38"/>
      <c r="AM26" s="38"/>
      <c r="AN26" s="38"/>
      <c r="AO26" s="38"/>
      <c r="AP26" s="38"/>
      <c r="AQ26" s="46"/>
      <c r="AV26" s="84"/>
    </row>
    <row r="27" spans="1:48" ht="15" customHeight="1" x14ac:dyDescent="0.2">
      <c r="A27" s="76"/>
      <c r="B27" s="77"/>
      <c r="C27" s="81"/>
      <c r="D27" s="81"/>
      <c r="E27" s="81"/>
      <c r="F27" s="81"/>
      <c r="G27" s="81"/>
      <c r="H27" s="81"/>
      <c r="I27" s="81"/>
      <c r="J27" s="231">
        <f>'2018'!J27-0.569644848</f>
        <v>-6.9644848000000037E-2</v>
      </c>
      <c r="K27" s="81"/>
      <c r="L27" s="81"/>
      <c r="M27" s="81"/>
      <c r="N27" s="81"/>
      <c r="O27" s="81"/>
      <c r="P27" s="81"/>
      <c r="Q27" s="81"/>
      <c r="R27" s="81"/>
      <c r="S27" s="81"/>
      <c r="T27" s="81"/>
      <c r="U27" s="81"/>
      <c r="V27" s="81"/>
      <c r="W27" s="81"/>
      <c r="X27" s="46">
        <f t="shared" si="0"/>
        <v>-6.9644848000000037E-2</v>
      </c>
      <c r="Y27" s="34" t="s">
        <v>62</v>
      </c>
      <c r="Z27" s="32">
        <v>100</v>
      </c>
      <c r="AA27" s="32"/>
      <c r="AB27" s="32"/>
      <c r="AC27" s="33"/>
      <c r="AD27" s="31">
        <f>Z27*X27/100</f>
        <v>-6.9644848000000037E-2</v>
      </c>
      <c r="AE27" s="33"/>
      <c r="AF27" s="31"/>
      <c r="AG27" s="33"/>
      <c r="AH27" s="43">
        <f t="shared" si="3"/>
        <v>0</v>
      </c>
      <c r="AI27" s="39"/>
      <c r="AJ27" s="38"/>
      <c r="AK27" s="38"/>
      <c r="AL27" s="38"/>
      <c r="AM27" s="38"/>
      <c r="AN27" s="38"/>
      <c r="AO27" s="38"/>
      <c r="AP27" s="38"/>
      <c r="AQ27" s="46"/>
      <c r="AV27" s="84"/>
    </row>
    <row r="28" spans="1:48" ht="15" customHeight="1" x14ac:dyDescent="0.2">
      <c r="A28" s="76"/>
      <c r="B28" s="77"/>
      <c r="C28" s="81"/>
      <c r="D28" s="81"/>
      <c r="E28" s="81"/>
      <c r="F28" s="81"/>
      <c r="G28" s="81"/>
      <c r="H28" s="81"/>
      <c r="I28" s="81"/>
      <c r="J28" s="38">
        <f>'2018'!J28*50%</f>
        <v>0</v>
      </c>
      <c r="K28" s="81"/>
      <c r="L28" s="81"/>
      <c r="M28" s="81"/>
      <c r="N28" s="81"/>
      <c r="O28" s="81"/>
      <c r="P28" s="81"/>
      <c r="Q28" s="81"/>
      <c r="R28" s="81"/>
      <c r="S28" s="81"/>
      <c r="T28" s="81"/>
      <c r="U28" s="81"/>
      <c r="V28" s="81"/>
      <c r="W28" s="81"/>
      <c r="X28" s="46">
        <f t="shared" si="0"/>
        <v>0</v>
      </c>
      <c r="Y28" s="34" t="s">
        <v>124</v>
      </c>
      <c r="Z28" s="36">
        <v>100</v>
      </c>
      <c r="AA28" s="38"/>
      <c r="AB28" s="38"/>
      <c r="AC28" s="35"/>
      <c r="AD28" s="36">
        <f>Z28*X28/100</f>
        <v>0</v>
      </c>
      <c r="AE28" s="35"/>
      <c r="AF28" s="31"/>
      <c r="AG28" s="33"/>
      <c r="AH28" s="43">
        <f t="shared" si="3"/>
        <v>0</v>
      </c>
      <c r="AI28" s="39"/>
      <c r="AJ28" s="38"/>
      <c r="AK28" s="38"/>
      <c r="AL28" s="38"/>
      <c r="AM28" s="38"/>
      <c r="AN28" s="38"/>
      <c r="AO28" s="38"/>
      <c r="AP28" s="38"/>
      <c r="AQ28" s="46"/>
    </row>
    <row r="29" spans="1:48" ht="15" customHeight="1" x14ac:dyDescent="0.2">
      <c r="A29" s="76"/>
      <c r="B29" s="77"/>
      <c r="C29" s="81"/>
      <c r="D29" s="81"/>
      <c r="E29" s="81"/>
      <c r="F29" s="81"/>
      <c r="G29" s="81"/>
      <c r="H29" s="81"/>
      <c r="I29" s="81"/>
      <c r="J29" s="81"/>
      <c r="K29" s="81">
        <v>0.34699999999999998</v>
      </c>
      <c r="L29" s="81"/>
      <c r="M29" s="81"/>
      <c r="N29" s="81"/>
      <c r="O29" s="81"/>
      <c r="P29" s="81"/>
      <c r="Q29" s="81"/>
      <c r="R29" s="81"/>
      <c r="S29" s="81"/>
      <c r="T29" s="81"/>
      <c r="U29" s="81"/>
      <c r="V29" s="81"/>
      <c r="W29" s="81"/>
      <c r="X29" s="46">
        <f t="shared" si="0"/>
        <v>0.34699999999999998</v>
      </c>
      <c r="Y29" s="94" t="s">
        <v>7</v>
      </c>
      <c r="Z29" s="29">
        <v>100</v>
      </c>
      <c r="AA29" s="38"/>
      <c r="AB29" s="38"/>
      <c r="AC29" s="35"/>
      <c r="AD29" s="36">
        <f>Z29*X29/100</f>
        <v>0.34699999999999998</v>
      </c>
      <c r="AE29" s="35"/>
      <c r="AF29" s="31"/>
      <c r="AG29" s="33"/>
      <c r="AH29" s="43">
        <f t="shared" si="3"/>
        <v>0</v>
      </c>
      <c r="AI29" s="39"/>
      <c r="AJ29" s="38"/>
      <c r="AK29" s="38"/>
      <c r="AL29" s="38"/>
      <c r="AM29" s="38"/>
      <c r="AN29" s="38"/>
      <c r="AO29" s="38"/>
      <c r="AP29" s="38"/>
      <c r="AQ29" s="46"/>
    </row>
    <row r="30" spans="1:48" ht="15" customHeight="1" x14ac:dyDescent="0.2">
      <c r="A30" s="31"/>
      <c r="B30" s="32"/>
      <c r="C30" s="32"/>
      <c r="D30" s="32"/>
      <c r="E30" s="32"/>
      <c r="F30" s="32"/>
      <c r="G30" s="32"/>
      <c r="H30" s="38"/>
      <c r="I30" s="38"/>
      <c r="J30" s="38"/>
      <c r="K30" s="38"/>
      <c r="L30" s="38"/>
      <c r="M30" s="38"/>
      <c r="N30" s="38"/>
      <c r="O30" s="38"/>
      <c r="P30" s="38"/>
      <c r="Q30" s="38"/>
      <c r="R30" s="38"/>
      <c r="S30" s="38"/>
      <c r="T30" s="38"/>
      <c r="U30" s="38"/>
      <c r="V30" s="38"/>
      <c r="W30" s="38"/>
      <c r="X30" s="46">
        <f t="shared" si="0"/>
        <v>0</v>
      </c>
      <c r="Y30" s="94" t="s">
        <v>8</v>
      </c>
      <c r="Z30" s="38">
        <v>100</v>
      </c>
      <c r="AA30" s="38"/>
      <c r="AB30" s="38"/>
      <c r="AC30" s="35"/>
      <c r="AD30" s="36">
        <f>Z30*X30/100</f>
        <v>0</v>
      </c>
      <c r="AE30" s="35"/>
      <c r="AF30" s="31"/>
      <c r="AG30" s="33"/>
      <c r="AH30" s="43">
        <f t="shared" si="3"/>
        <v>0</v>
      </c>
      <c r="AI30" s="39"/>
      <c r="AJ30" s="38"/>
      <c r="AK30" s="38"/>
      <c r="AL30" s="38"/>
      <c r="AM30" s="38"/>
      <c r="AN30" s="38"/>
      <c r="AO30" s="38"/>
      <c r="AP30" s="38"/>
      <c r="AQ30" s="46"/>
    </row>
    <row r="31" spans="1:48" ht="15" customHeight="1" x14ac:dyDescent="0.2">
      <c r="A31" s="372"/>
      <c r="B31" s="32"/>
      <c r="C31" s="32"/>
      <c r="D31" s="32"/>
      <c r="E31" s="32"/>
      <c r="F31" s="32"/>
      <c r="G31" s="32"/>
      <c r="H31" s="38"/>
      <c r="I31" s="29">
        <f>-(O31+T31)*AA31%</f>
        <v>0</v>
      </c>
      <c r="J31" s="38"/>
      <c r="K31" s="38"/>
      <c r="L31" s="38"/>
      <c r="M31" s="38"/>
      <c r="N31" s="38"/>
      <c r="O31" s="38"/>
      <c r="P31" s="38"/>
      <c r="Q31" s="38"/>
      <c r="R31" s="38"/>
      <c r="S31" s="38"/>
      <c r="T31" s="38"/>
      <c r="U31" s="37"/>
      <c r="V31" s="37"/>
      <c r="W31" s="37"/>
      <c r="X31" s="46">
        <f t="shared" si="0"/>
        <v>0</v>
      </c>
      <c r="Y31" s="94" t="s">
        <v>216</v>
      </c>
      <c r="Z31" s="373"/>
      <c r="AA31" s="37">
        <v>100</v>
      </c>
      <c r="AB31" s="37"/>
      <c r="AC31" s="364"/>
      <c r="AD31" s="354"/>
      <c r="AE31" s="364"/>
      <c r="AF31" s="374"/>
      <c r="AG31" s="375"/>
      <c r="AH31" s="43"/>
      <c r="AI31" s="373"/>
      <c r="AJ31" s="37"/>
      <c r="AK31" s="37"/>
      <c r="AL31" s="37"/>
      <c r="AM31" s="37"/>
      <c r="AN31" s="37"/>
      <c r="AO31" s="37"/>
      <c r="AP31" s="37"/>
      <c r="AQ31" s="46"/>
    </row>
    <row r="32" spans="1:48" ht="15" customHeight="1" x14ac:dyDescent="0.2">
      <c r="A32" s="32"/>
      <c r="B32" s="32"/>
      <c r="C32" s="253"/>
      <c r="D32" s="253"/>
      <c r="E32" s="253"/>
      <c r="F32" s="253"/>
      <c r="G32" s="253"/>
      <c r="H32" s="37"/>
      <c r="I32" s="29"/>
      <c r="J32" s="37"/>
      <c r="K32" s="37"/>
      <c r="L32" s="37"/>
      <c r="M32" s="37"/>
      <c r="N32" s="37"/>
      <c r="O32" s="29"/>
      <c r="P32" s="37"/>
      <c r="Q32" s="37"/>
      <c r="R32" s="37"/>
      <c r="S32" s="37"/>
      <c r="T32" s="29"/>
      <c r="U32" s="37"/>
      <c r="V32" s="37"/>
      <c r="W32" s="37"/>
      <c r="X32" s="46">
        <f t="shared" si="0"/>
        <v>0</v>
      </c>
      <c r="Y32" s="94" t="s">
        <v>215</v>
      </c>
      <c r="Z32" s="366"/>
      <c r="AA32" s="37"/>
      <c r="AB32" s="37"/>
      <c r="AC32" s="364"/>
      <c r="AD32" s="36">
        <f>X32*Z32/100</f>
        <v>0</v>
      </c>
      <c r="AE32" s="35"/>
      <c r="AF32" s="36">
        <f>X32*AB32/100</f>
        <v>0</v>
      </c>
      <c r="AG32" s="35"/>
      <c r="AH32" s="43">
        <f>SUM(AI32:AQ32)</f>
        <v>0</v>
      </c>
      <c r="AI32" s="93"/>
      <c r="AJ32" s="77"/>
      <c r="AK32" s="77"/>
      <c r="AL32" s="77"/>
      <c r="AM32" s="77"/>
      <c r="AN32" s="77"/>
      <c r="AO32" s="77"/>
      <c r="AP32" s="77"/>
      <c r="AQ32" s="46"/>
    </row>
    <row r="33" spans="1:45" ht="15" customHeight="1" x14ac:dyDescent="0.2">
      <c r="A33" s="32"/>
      <c r="B33" s="32"/>
      <c r="C33" s="29"/>
      <c r="D33" s="29"/>
      <c r="E33" s="37"/>
      <c r="F33" s="37"/>
      <c r="G33" s="37"/>
      <c r="H33" s="37"/>
      <c r="I33" s="29"/>
      <c r="J33" s="37"/>
      <c r="K33" s="37"/>
      <c r="L33" s="37"/>
      <c r="M33" s="37"/>
      <c r="N33" s="37"/>
      <c r="O33" s="29"/>
      <c r="P33" s="38"/>
      <c r="Q33" s="29"/>
      <c r="R33" s="29"/>
      <c r="S33" s="29"/>
      <c r="T33" s="29"/>
      <c r="U33" s="37"/>
      <c r="V33" s="37"/>
      <c r="W33" s="37"/>
      <c r="X33" s="79">
        <f t="shared" si="0"/>
        <v>0</v>
      </c>
      <c r="Y33" s="94" t="s">
        <v>39</v>
      </c>
      <c r="Z33" s="366"/>
      <c r="AA33" s="37"/>
      <c r="AB33" s="29"/>
      <c r="AC33" s="35"/>
      <c r="AD33" s="36">
        <f>X33*Z33/100</f>
        <v>0</v>
      </c>
      <c r="AE33" s="35"/>
      <c r="AF33" s="31">
        <f>X33*AB33/100</f>
        <v>0</v>
      </c>
      <c r="AG33" s="33"/>
      <c r="AH33" s="43">
        <f t="shared" si="3"/>
        <v>0</v>
      </c>
      <c r="AI33" s="93"/>
      <c r="AJ33" s="77"/>
      <c r="AK33" s="77"/>
      <c r="AL33" s="77"/>
      <c r="AM33" s="77"/>
      <c r="AN33" s="77"/>
      <c r="AO33" s="77"/>
      <c r="AP33" s="77"/>
      <c r="AQ33" s="46"/>
    </row>
    <row r="34" spans="1:45" ht="15" customHeight="1" x14ac:dyDescent="0.2">
      <c r="A34" s="32"/>
      <c r="B34" s="32"/>
      <c r="C34" s="37"/>
      <c r="D34" s="37"/>
      <c r="E34" s="37"/>
      <c r="F34" s="37"/>
      <c r="G34" s="37"/>
      <c r="H34" s="37"/>
      <c r="I34" s="37"/>
      <c r="J34" s="37"/>
      <c r="K34" s="37"/>
      <c r="L34" s="37"/>
      <c r="M34" s="37"/>
      <c r="N34" s="37"/>
      <c r="O34" s="37"/>
      <c r="P34" s="37"/>
      <c r="Q34" s="37"/>
      <c r="R34" s="37"/>
      <c r="S34" s="37"/>
      <c r="T34" s="37"/>
      <c r="U34" s="37"/>
      <c r="V34" s="37"/>
      <c r="W34" s="37"/>
      <c r="X34" s="79">
        <f t="shared" si="0"/>
        <v>0</v>
      </c>
      <c r="Y34" s="94" t="s">
        <v>40</v>
      </c>
      <c r="Z34" s="354"/>
      <c r="AA34" s="37"/>
      <c r="AB34" s="37"/>
      <c r="AC34" s="35"/>
      <c r="AD34" s="36">
        <f>X34*Z34/100</f>
        <v>0</v>
      </c>
      <c r="AE34" s="35"/>
      <c r="AF34" s="31">
        <f>X34*AB34</f>
        <v>0</v>
      </c>
      <c r="AG34" s="33"/>
      <c r="AH34" s="43">
        <f t="shared" si="3"/>
        <v>0</v>
      </c>
      <c r="AI34" s="93"/>
      <c r="AJ34" s="77"/>
      <c r="AK34" s="77"/>
      <c r="AL34" s="77"/>
      <c r="AM34" s="77"/>
      <c r="AN34" s="77"/>
      <c r="AO34" s="77"/>
      <c r="AP34" s="77"/>
      <c r="AQ34" s="46"/>
    </row>
    <row r="35" spans="1:45" ht="15" customHeight="1" x14ac:dyDescent="0.2">
      <c r="A35" s="32"/>
      <c r="B35" s="32"/>
      <c r="C35" s="37"/>
      <c r="D35" s="37"/>
      <c r="E35" s="376"/>
      <c r="F35" s="37"/>
      <c r="G35" s="37"/>
      <c r="H35" s="37"/>
      <c r="I35" s="37"/>
      <c r="J35" s="37"/>
      <c r="K35" s="37"/>
      <c r="L35" s="37"/>
      <c r="M35" s="37"/>
      <c r="N35" s="37"/>
      <c r="O35" s="37"/>
      <c r="P35" s="37"/>
      <c r="Q35" s="37"/>
      <c r="R35" s="37"/>
      <c r="S35" s="37"/>
      <c r="T35" s="37"/>
      <c r="U35" s="37"/>
      <c r="V35" s="37"/>
      <c r="W35" s="37"/>
      <c r="X35" s="79">
        <f t="shared" si="0"/>
        <v>0</v>
      </c>
      <c r="Y35" s="94" t="s">
        <v>41</v>
      </c>
      <c r="Z35" s="354"/>
      <c r="AA35" s="37"/>
      <c r="AB35" s="37"/>
      <c r="AC35" s="35"/>
      <c r="AD35" s="36">
        <f>X35*Z35/100</f>
        <v>0</v>
      </c>
      <c r="AE35" s="35"/>
      <c r="AF35" s="31">
        <f>X35*AB35</f>
        <v>0</v>
      </c>
      <c r="AG35" s="33"/>
      <c r="AH35" s="43">
        <f t="shared" si="3"/>
        <v>0</v>
      </c>
      <c r="AI35" s="93"/>
      <c r="AJ35" s="77"/>
      <c r="AK35" s="77"/>
      <c r="AL35" s="77"/>
      <c r="AM35" s="77"/>
      <c r="AN35" s="77"/>
      <c r="AO35" s="77"/>
      <c r="AP35" s="77"/>
      <c r="AQ35" s="46"/>
    </row>
    <row r="36" spans="1:45" ht="15" customHeight="1" x14ac:dyDescent="0.2">
      <c r="A36" s="32"/>
      <c r="B36" s="32"/>
      <c r="C36" s="37"/>
      <c r="D36" s="37"/>
      <c r="E36" s="29"/>
      <c r="F36" s="37"/>
      <c r="G36" s="37"/>
      <c r="H36" s="37"/>
      <c r="I36" s="37"/>
      <c r="J36" s="37"/>
      <c r="K36" s="37"/>
      <c r="L36" s="37"/>
      <c r="M36" s="37"/>
      <c r="N36" s="37"/>
      <c r="O36" s="37"/>
      <c r="P36" s="29"/>
      <c r="Q36" s="37"/>
      <c r="R36" s="37"/>
      <c r="S36" s="37"/>
      <c r="T36" s="37"/>
      <c r="U36" s="37"/>
      <c r="V36" s="37"/>
      <c r="W36" s="37"/>
      <c r="X36" s="79">
        <f t="shared" si="0"/>
        <v>0</v>
      </c>
      <c r="Y36" s="94" t="s">
        <v>42</v>
      </c>
      <c r="Z36" s="354"/>
      <c r="AA36" s="37"/>
      <c r="AB36" s="29"/>
      <c r="AC36" s="35"/>
      <c r="AD36" s="36"/>
      <c r="AE36" s="35"/>
      <c r="AF36" s="31">
        <f>X36*AB36/100</f>
        <v>0</v>
      </c>
      <c r="AG36" s="33"/>
      <c r="AH36" s="43">
        <f t="shared" si="3"/>
        <v>0</v>
      </c>
      <c r="AI36" s="93"/>
      <c r="AJ36" s="77"/>
      <c r="AK36" s="77"/>
      <c r="AL36" s="77"/>
      <c r="AM36" s="77"/>
      <c r="AN36" s="77"/>
      <c r="AO36" s="77"/>
      <c r="AP36" s="77"/>
      <c r="AQ36" s="46"/>
    </row>
    <row r="37" spans="1:45" ht="15" customHeight="1" x14ac:dyDescent="0.2">
      <c r="A37" s="253"/>
      <c r="B37" s="253"/>
      <c r="C37" s="253"/>
      <c r="D37" s="37"/>
      <c r="E37" s="37"/>
      <c r="F37" s="37"/>
      <c r="G37" s="37"/>
      <c r="H37" s="37"/>
      <c r="I37" s="37"/>
      <c r="J37" s="37"/>
      <c r="K37" s="37"/>
      <c r="L37" s="37"/>
      <c r="M37" s="37"/>
      <c r="N37" s="29">
        <f>AF37-AE37</f>
        <v>0</v>
      </c>
      <c r="O37" s="37"/>
      <c r="P37" s="37"/>
      <c r="Q37" s="37"/>
      <c r="R37" s="37"/>
      <c r="S37" s="37"/>
      <c r="T37" s="37"/>
      <c r="U37" s="37"/>
      <c r="V37" s="37"/>
      <c r="W37" s="37"/>
      <c r="X37" s="79">
        <f t="shared" si="0"/>
        <v>0</v>
      </c>
      <c r="Y37" s="94" t="s">
        <v>213</v>
      </c>
      <c r="Z37" s="36"/>
      <c r="AA37" s="38"/>
      <c r="AB37" s="38"/>
      <c r="AC37" s="35"/>
      <c r="AD37" s="354">
        <f>-AE37/$D$2%</f>
        <v>0</v>
      </c>
      <c r="AE37" s="44"/>
      <c r="AF37" s="45">
        <f>AE37*AB37%</f>
        <v>0</v>
      </c>
      <c r="AG37" s="375"/>
      <c r="AH37" s="43"/>
      <c r="AI37" s="93"/>
      <c r="AJ37" s="93"/>
      <c r="AK37" s="77"/>
      <c r="AL37" s="77"/>
      <c r="AM37" s="77"/>
      <c r="AN37" s="77"/>
      <c r="AO37" s="77"/>
      <c r="AP37" s="77"/>
      <c r="AQ37" s="46"/>
    </row>
    <row r="38" spans="1:45" ht="15" customHeight="1" x14ac:dyDescent="0.2">
      <c r="A38" s="253"/>
      <c r="B38" s="253"/>
      <c r="C38" s="253"/>
      <c r="D38" s="37"/>
      <c r="E38" s="37"/>
      <c r="F38" s="37"/>
      <c r="G38" s="37"/>
      <c r="H38" s="37"/>
      <c r="I38" s="37"/>
      <c r="J38" s="37"/>
      <c r="K38" s="37"/>
      <c r="L38" s="37"/>
      <c r="M38" s="37"/>
      <c r="N38" s="37"/>
      <c r="O38" s="37"/>
      <c r="P38" s="37"/>
      <c r="Q38" s="37"/>
      <c r="R38" s="37"/>
      <c r="S38" s="37"/>
      <c r="T38" s="37"/>
      <c r="U38" s="37"/>
      <c r="V38" s="37"/>
      <c r="W38" s="37"/>
      <c r="X38" s="79">
        <f t="shared" si="0"/>
        <v>0</v>
      </c>
      <c r="Y38" s="94" t="s">
        <v>214</v>
      </c>
      <c r="Z38" s="36"/>
      <c r="AA38" s="38"/>
      <c r="AB38" s="38"/>
      <c r="AC38" s="35"/>
      <c r="AD38" s="354">
        <f>-AE38/$D$2%</f>
        <v>0</v>
      </c>
      <c r="AE38" s="35"/>
      <c r="AF38" s="36">
        <f>AE38*AB38%</f>
        <v>0</v>
      </c>
      <c r="AG38" s="375"/>
      <c r="AH38" s="43"/>
      <c r="AI38" s="93"/>
      <c r="AJ38" s="93"/>
      <c r="AK38" s="77"/>
      <c r="AL38" s="77"/>
      <c r="AM38" s="77"/>
      <c r="AN38" s="77"/>
      <c r="AO38" s="77"/>
      <c r="AP38" s="77"/>
      <c r="AQ38" s="46"/>
    </row>
    <row r="39" spans="1:45" ht="15" customHeight="1" x14ac:dyDescent="0.2">
      <c r="A39" s="32"/>
      <c r="B39" s="32"/>
      <c r="C39" s="37"/>
      <c r="D39" s="37"/>
      <c r="E39" s="37"/>
      <c r="F39" s="37"/>
      <c r="G39" s="37"/>
      <c r="H39" s="37"/>
      <c r="I39" s="37"/>
      <c r="J39" s="37"/>
      <c r="K39" s="37"/>
      <c r="L39" s="37"/>
      <c r="M39" s="37"/>
      <c r="N39" s="37"/>
      <c r="O39" s="37"/>
      <c r="P39" s="37"/>
      <c r="Q39" s="37"/>
      <c r="R39" s="37"/>
      <c r="S39" s="37"/>
      <c r="T39" s="37"/>
      <c r="U39" s="37"/>
      <c r="V39" s="37"/>
      <c r="W39" s="37"/>
      <c r="X39" s="46">
        <f t="shared" si="0"/>
        <v>0</v>
      </c>
      <c r="Y39" s="94" t="s">
        <v>63</v>
      </c>
      <c r="Z39" s="354"/>
      <c r="AA39" s="37"/>
      <c r="AB39" s="37"/>
      <c r="AC39" s="365">
        <v>75</v>
      </c>
      <c r="AD39" s="36"/>
      <c r="AE39" s="35"/>
      <c r="AF39" s="31">
        <f>-SUM(AF33:AF38)</f>
        <v>0</v>
      </c>
      <c r="AG39" s="33">
        <f>-AF39*AC39/100</f>
        <v>0</v>
      </c>
      <c r="AH39" s="43">
        <f>SUM(AI39:AQ39)</f>
        <v>0</v>
      </c>
      <c r="AI39" s="42">
        <f>AG39*66.8%</f>
        <v>0</v>
      </c>
      <c r="AJ39" s="42">
        <f>AG39*12%</f>
        <v>0</v>
      </c>
      <c r="AK39" s="32">
        <f>AG39*4.1%</f>
        <v>0</v>
      </c>
      <c r="AL39" s="32">
        <f>AG39*10.6%</f>
        <v>0</v>
      </c>
      <c r="AM39" s="32">
        <f>AG39*0%</f>
        <v>0</v>
      </c>
      <c r="AN39" s="32">
        <f>AG39*6.4%</f>
        <v>0</v>
      </c>
      <c r="AO39" s="32">
        <f>AG39*0.03%</f>
        <v>0</v>
      </c>
      <c r="AP39" s="77"/>
      <c r="AQ39" s="46"/>
    </row>
    <row r="40" spans="1:45" ht="15" customHeight="1" x14ac:dyDescent="0.2">
      <c r="A40" s="32"/>
      <c r="B40" s="32"/>
      <c r="C40" s="37"/>
      <c r="D40" s="37"/>
      <c r="E40" s="29"/>
      <c r="F40" s="37"/>
      <c r="G40" s="37"/>
      <c r="H40" s="37"/>
      <c r="I40" s="37"/>
      <c r="J40" s="37"/>
      <c r="K40" s="37"/>
      <c r="L40" s="37"/>
      <c r="M40" s="37"/>
      <c r="N40" s="37"/>
      <c r="O40" s="29"/>
      <c r="P40" s="37"/>
      <c r="Q40" s="29"/>
      <c r="R40" s="377"/>
      <c r="S40" s="29"/>
      <c r="T40" s="29"/>
      <c r="U40" s="29"/>
      <c r="V40" s="37"/>
      <c r="W40" s="29"/>
      <c r="X40" s="79">
        <f t="shared" si="0"/>
        <v>0</v>
      </c>
      <c r="Y40" s="94" t="s">
        <v>13</v>
      </c>
      <c r="Z40" s="366"/>
      <c r="AA40" s="37"/>
      <c r="AB40" s="29"/>
      <c r="AC40" s="364"/>
      <c r="AD40" s="36">
        <f>X40*Z40/100</f>
        <v>0</v>
      </c>
      <c r="AE40" s="35"/>
      <c r="AF40" s="31">
        <f>X40*AB40/100</f>
        <v>0</v>
      </c>
      <c r="AG40" s="33"/>
      <c r="AH40" s="43">
        <f t="shared" si="3"/>
        <v>0</v>
      </c>
      <c r="AI40" s="93"/>
      <c r="AJ40" s="77"/>
      <c r="AK40" s="77"/>
      <c r="AL40" s="77"/>
      <c r="AM40" s="77"/>
      <c r="AN40" s="77"/>
      <c r="AO40" s="77"/>
      <c r="AP40" s="77"/>
      <c r="AQ40" s="46"/>
    </row>
    <row r="41" spans="1:45" ht="15" customHeight="1" x14ac:dyDescent="0.2">
      <c r="A41" s="32"/>
      <c r="B41" s="32"/>
      <c r="C41" s="37"/>
      <c r="D41" s="37"/>
      <c r="E41" s="29"/>
      <c r="F41" s="37"/>
      <c r="G41" s="37"/>
      <c r="H41" s="37"/>
      <c r="I41" s="37"/>
      <c r="J41" s="37"/>
      <c r="K41" s="37"/>
      <c r="L41" s="37"/>
      <c r="M41" s="37"/>
      <c r="N41" s="37"/>
      <c r="O41" s="37"/>
      <c r="P41" s="37"/>
      <c r="Q41" s="37"/>
      <c r="R41" s="37"/>
      <c r="S41" s="29"/>
      <c r="T41" s="37"/>
      <c r="U41" s="29"/>
      <c r="V41" s="37"/>
      <c r="W41" s="29"/>
      <c r="X41" s="79">
        <f t="shared" si="0"/>
        <v>0</v>
      </c>
      <c r="Y41" s="94" t="s">
        <v>14</v>
      </c>
      <c r="Z41" s="354"/>
      <c r="AA41" s="37"/>
      <c r="AB41" s="29"/>
      <c r="AC41" s="364"/>
      <c r="AD41" s="36">
        <f>X41*Z41/100</f>
        <v>0</v>
      </c>
      <c r="AE41" s="35"/>
      <c r="AF41" s="31">
        <f>X41*AB41/100</f>
        <v>0</v>
      </c>
      <c r="AG41" s="33"/>
      <c r="AH41" s="43">
        <f t="shared" si="3"/>
        <v>0</v>
      </c>
      <c r="AI41" s="93"/>
      <c r="AJ41" s="77"/>
      <c r="AK41" s="77"/>
      <c r="AL41" s="77"/>
      <c r="AM41" s="77"/>
      <c r="AN41" s="77"/>
      <c r="AO41" s="77"/>
      <c r="AP41" s="77"/>
      <c r="AQ41" s="46"/>
    </row>
    <row r="42" spans="1:45" ht="15" customHeight="1" x14ac:dyDescent="0.2">
      <c r="A42" s="32"/>
      <c r="B42" s="38"/>
      <c r="C42" s="37"/>
      <c r="D42" s="37"/>
      <c r="E42" s="37"/>
      <c r="F42" s="37"/>
      <c r="G42" s="37"/>
      <c r="H42" s="37"/>
      <c r="I42" s="37"/>
      <c r="J42" s="37"/>
      <c r="K42" s="37"/>
      <c r="L42" s="37"/>
      <c r="M42" s="37"/>
      <c r="N42" s="37"/>
      <c r="O42" s="37"/>
      <c r="P42" s="37"/>
      <c r="Q42" s="37"/>
      <c r="R42" s="37"/>
      <c r="S42" s="37"/>
      <c r="T42" s="37"/>
      <c r="U42" s="29"/>
      <c r="V42" s="37"/>
      <c r="W42" s="29"/>
      <c r="X42" s="79">
        <f t="shared" si="0"/>
        <v>0</v>
      </c>
      <c r="Y42" s="94" t="s">
        <v>15</v>
      </c>
      <c r="Z42" s="354"/>
      <c r="AA42" s="37"/>
      <c r="AB42" s="37"/>
      <c r="AC42" s="364"/>
      <c r="AD42" s="36">
        <f>X42*Z42/100</f>
        <v>0</v>
      </c>
      <c r="AE42" s="35"/>
      <c r="AF42" s="31">
        <f>X42*AB42/100</f>
        <v>0</v>
      </c>
      <c r="AG42" s="33"/>
      <c r="AH42" s="43">
        <f t="shared" si="3"/>
        <v>0</v>
      </c>
      <c r="AI42" s="93"/>
      <c r="AJ42" s="77"/>
      <c r="AK42" s="77"/>
      <c r="AL42" s="77"/>
      <c r="AM42" s="77"/>
      <c r="AN42" s="77"/>
      <c r="AO42" s="77"/>
      <c r="AP42" s="77"/>
      <c r="AQ42" s="46"/>
      <c r="AS42" s="62"/>
    </row>
    <row r="43" spans="1:45" ht="15" customHeight="1" x14ac:dyDescent="0.2">
      <c r="A43" s="32"/>
      <c r="B43" s="32"/>
      <c r="C43" s="37"/>
      <c r="D43" s="37"/>
      <c r="E43" s="37"/>
      <c r="F43" s="37"/>
      <c r="G43" s="37"/>
      <c r="H43" s="37"/>
      <c r="I43" s="37"/>
      <c r="J43" s="37"/>
      <c r="K43" s="37"/>
      <c r="L43" s="37"/>
      <c r="M43" s="37"/>
      <c r="N43" s="37"/>
      <c r="O43" s="37"/>
      <c r="P43" s="37"/>
      <c r="Q43" s="37"/>
      <c r="R43" s="37"/>
      <c r="S43" s="37"/>
      <c r="T43" s="37"/>
      <c r="U43" s="37"/>
      <c r="V43" s="37"/>
      <c r="W43" s="37"/>
      <c r="X43" s="46">
        <f t="shared" si="0"/>
        <v>0</v>
      </c>
      <c r="Y43" s="27" t="s">
        <v>64</v>
      </c>
      <c r="Z43" s="354"/>
      <c r="AA43" s="37"/>
      <c r="AB43" s="37"/>
      <c r="AC43" s="365">
        <v>75</v>
      </c>
      <c r="AD43" s="36"/>
      <c r="AE43" s="35"/>
      <c r="AF43" s="31">
        <f>-SUM(AF40:AF42)</f>
        <v>0</v>
      </c>
      <c r="AG43" s="33">
        <f>-AF43*AC43/100</f>
        <v>0</v>
      </c>
      <c r="AH43" s="80">
        <f t="shared" si="3"/>
        <v>0</v>
      </c>
      <c r="AI43" s="30">
        <f>AG43*65.2%</f>
        <v>0</v>
      </c>
      <c r="AJ43" s="30">
        <f>AG43*9.9%</f>
        <v>0</v>
      </c>
      <c r="AK43" s="29">
        <f>AG43*13.3%</f>
        <v>0</v>
      </c>
      <c r="AL43" s="29">
        <f>AG43*7%</f>
        <v>0</v>
      </c>
      <c r="AM43" s="29">
        <f>AG43*0%</f>
        <v>0</v>
      </c>
      <c r="AN43" s="29">
        <f>AG43*3.2%</f>
        <v>0</v>
      </c>
      <c r="AO43" s="29">
        <f>AG43*1.5%</f>
        <v>0</v>
      </c>
      <c r="AP43" s="77"/>
      <c r="AQ43" s="46"/>
      <c r="AS43" s="62"/>
    </row>
    <row r="44" spans="1:45" ht="15" customHeight="1" x14ac:dyDescent="0.2">
      <c r="A44" s="32"/>
      <c r="B44" s="29"/>
      <c r="C44" s="378"/>
      <c r="D44" s="37"/>
      <c r="E44" s="378"/>
      <c r="F44" s="37"/>
      <c r="G44" s="37"/>
      <c r="H44" s="37"/>
      <c r="I44" s="29"/>
      <c r="J44" s="37"/>
      <c r="K44" s="37"/>
      <c r="L44" s="37"/>
      <c r="M44" s="37"/>
      <c r="N44" s="37"/>
      <c r="O44" s="29"/>
      <c r="P44" s="37"/>
      <c r="Q44" s="378"/>
      <c r="R44" s="29"/>
      <c r="S44" s="29"/>
      <c r="T44" s="29"/>
      <c r="U44" s="29"/>
      <c r="V44" s="37"/>
      <c r="W44" s="29"/>
      <c r="X44" s="46">
        <f t="shared" si="0"/>
        <v>0</v>
      </c>
      <c r="Y44" s="94" t="s">
        <v>43</v>
      </c>
      <c r="Z44" s="366"/>
      <c r="AA44" s="37"/>
      <c r="AB44" s="29"/>
      <c r="AC44" s="364"/>
      <c r="AD44" s="31">
        <f>X44*Z44/100</f>
        <v>0</v>
      </c>
      <c r="AE44" s="33"/>
      <c r="AF44" s="31">
        <f t="shared" ref="AF44:AF51" si="5">X44*AB44/100</f>
        <v>0</v>
      </c>
      <c r="AG44" s="33"/>
      <c r="AH44" s="43">
        <f t="shared" si="3"/>
        <v>0</v>
      </c>
      <c r="AI44" s="93"/>
      <c r="AJ44" s="77"/>
      <c r="AK44" s="77"/>
      <c r="AL44" s="77"/>
      <c r="AM44" s="77"/>
      <c r="AN44" s="77"/>
      <c r="AO44" s="77"/>
      <c r="AP44" s="77"/>
      <c r="AQ44" s="46"/>
      <c r="AS44" s="62"/>
    </row>
    <row r="45" spans="1:45" ht="15" customHeight="1" x14ac:dyDescent="0.2">
      <c r="A45" s="32"/>
      <c r="B45" s="38"/>
      <c r="C45" s="37"/>
      <c r="D45" s="37"/>
      <c r="E45" s="37"/>
      <c r="F45" s="37"/>
      <c r="G45" s="37"/>
      <c r="H45" s="37"/>
      <c r="I45" s="29"/>
      <c r="J45" s="37"/>
      <c r="K45" s="37"/>
      <c r="L45" s="37"/>
      <c r="M45" s="37"/>
      <c r="N45" s="37"/>
      <c r="O45" s="29"/>
      <c r="P45" s="37"/>
      <c r="Q45" s="37"/>
      <c r="R45" s="37"/>
      <c r="S45" s="29"/>
      <c r="T45" s="29"/>
      <c r="U45" s="37"/>
      <c r="V45" s="37"/>
      <c r="W45" s="37"/>
      <c r="X45" s="46">
        <f t="shared" si="0"/>
        <v>0</v>
      </c>
      <c r="Y45" s="94" t="s">
        <v>44</v>
      </c>
      <c r="Z45" s="366"/>
      <c r="AA45" s="37"/>
      <c r="AB45" s="29"/>
      <c r="AC45" s="364"/>
      <c r="AD45" s="31">
        <f>X45*Z45/100</f>
        <v>0</v>
      </c>
      <c r="AE45" s="33"/>
      <c r="AF45" s="31">
        <f t="shared" si="5"/>
        <v>0</v>
      </c>
      <c r="AG45" s="33"/>
      <c r="AH45" s="43">
        <f t="shared" si="3"/>
        <v>0</v>
      </c>
      <c r="AI45" s="93"/>
      <c r="AJ45" s="77"/>
      <c r="AK45" s="77"/>
      <c r="AL45" s="77"/>
      <c r="AM45" s="77"/>
      <c r="AN45" s="77"/>
      <c r="AO45" s="77"/>
      <c r="AP45" s="77"/>
      <c r="AQ45" s="46"/>
      <c r="AS45" s="62"/>
    </row>
    <row r="46" spans="1:45" ht="15" customHeight="1" x14ac:dyDescent="0.2">
      <c r="A46" s="32"/>
      <c r="B46" s="32"/>
      <c r="C46" s="37"/>
      <c r="D46" s="37"/>
      <c r="E46" s="37"/>
      <c r="F46" s="37"/>
      <c r="G46" s="37"/>
      <c r="H46" s="37"/>
      <c r="I46" s="29"/>
      <c r="J46" s="37"/>
      <c r="K46" s="37"/>
      <c r="L46" s="37"/>
      <c r="M46" s="37"/>
      <c r="N46" s="37"/>
      <c r="O46" s="37"/>
      <c r="P46" s="37"/>
      <c r="Q46" s="37"/>
      <c r="R46" s="37"/>
      <c r="S46" s="377"/>
      <c r="T46" s="37"/>
      <c r="U46" s="37"/>
      <c r="V46" s="37"/>
      <c r="W46" s="37"/>
      <c r="X46" s="46">
        <f t="shared" si="0"/>
        <v>0</v>
      </c>
      <c r="Y46" s="94" t="s">
        <v>29</v>
      </c>
      <c r="Z46" s="366"/>
      <c r="AA46" s="37"/>
      <c r="AB46" s="29"/>
      <c r="AC46" s="364"/>
      <c r="AD46" s="31">
        <f>X46*Z46/100</f>
        <v>0</v>
      </c>
      <c r="AE46" s="33"/>
      <c r="AF46" s="31">
        <f t="shared" si="5"/>
        <v>0</v>
      </c>
      <c r="AG46" s="33"/>
      <c r="AH46" s="43">
        <f t="shared" si="3"/>
        <v>0</v>
      </c>
      <c r="AI46" s="93"/>
      <c r="AJ46" s="77"/>
      <c r="AK46" s="77"/>
      <c r="AL46" s="77"/>
      <c r="AM46" s="77"/>
      <c r="AN46" s="77"/>
      <c r="AO46" s="77"/>
      <c r="AP46" s="77"/>
      <c r="AQ46" s="46"/>
      <c r="AS46" s="62"/>
    </row>
    <row r="47" spans="1:45" ht="15" customHeight="1" x14ac:dyDescent="0.2">
      <c r="A47" s="32"/>
      <c r="B47" s="32"/>
      <c r="C47" s="37"/>
      <c r="D47" s="29"/>
      <c r="E47" s="29"/>
      <c r="F47" s="37"/>
      <c r="G47" s="37"/>
      <c r="H47" s="37"/>
      <c r="I47" s="29"/>
      <c r="J47" s="37"/>
      <c r="K47" s="37"/>
      <c r="L47" s="37"/>
      <c r="M47" s="37"/>
      <c r="N47" s="37"/>
      <c r="O47" s="29"/>
      <c r="P47" s="29"/>
      <c r="Q47" s="29"/>
      <c r="R47" s="29"/>
      <c r="S47" s="29"/>
      <c r="T47" s="29"/>
      <c r="U47" s="37"/>
      <c r="V47" s="37"/>
      <c r="W47" s="37"/>
      <c r="X47" s="46">
        <f t="shared" si="0"/>
        <v>0</v>
      </c>
      <c r="Y47" s="94" t="s">
        <v>30</v>
      </c>
      <c r="Z47" s="354"/>
      <c r="AA47" s="37"/>
      <c r="AB47" s="29"/>
      <c r="AC47" s="364"/>
      <c r="AD47" s="31">
        <f>X47*Z47/100</f>
        <v>0</v>
      </c>
      <c r="AE47" s="33"/>
      <c r="AF47" s="31">
        <f t="shared" si="5"/>
        <v>0</v>
      </c>
      <c r="AG47" s="33"/>
      <c r="AH47" s="43">
        <f t="shared" si="3"/>
        <v>0</v>
      </c>
      <c r="AI47" s="93"/>
      <c r="AJ47" s="77"/>
      <c r="AK47" s="77"/>
      <c r="AL47" s="77"/>
      <c r="AM47" s="77"/>
      <c r="AN47" s="77"/>
      <c r="AO47" s="77"/>
      <c r="AP47" s="77"/>
      <c r="AQ47" s="46"/>
      <c r="AS47" s="62"/>
    </row>
    <row r="48" spans="1:45" s="4" customFormat="1" ht="15" customHeight="1" x14ac:dyDescent="0.2">
      <c r="A48" s="253"/>
      <c r="B48" s="253"/>
      <c r="C48" s="253"/>
      <c r="D48" s="253"/>
      <c r="E48" s="253"/>
      <c r="F48" s="253"/>
      <c r="G48" s="253"/>
      <c r="H48" s="253"/>
      <c r="I48" s="37"/>
      <c r="J48" s="37"/>
      <c r="K48" s="253"/>
      <c r="L48" s="253"/>
      <c r="M48" s="253"/>
      <c r="N48" s="29">
        <f>AF48-AE48</f>
        <v>0</v>
      </c>
      <c r="O48" s="37"/>
      <c r="P48" s="37"/>
      <c r="Q48" s="37"/>
      <c r="R48" s="37"/>
      <c r="S48" s="37"/>
      <c r="T48" s="37"/>
      <c r="U48" s="37"/>
      <c r="V48" s="37"/>
      <c r="W48" s="37"/>
      <c r="X48" s="46">
        <f t="shared" si="0"/>
        <v>0</v>
      </c>
      <c r="Y48" s="34" t="s">
        <v>116</v>
      </c>
      <c r="Z48" s="36"/>
      <c r="AA48" s="38"/>
      <c r="AB48" s="29"/>
      <c r="AC48" s="35"/>
      <c r="AD48" s="354">
        <f>-AE48/$D$2%</f>
        <v>0</v>
      </c>
      <c r="AE48" s="379"/>
      <c r="AF48" s="45">
        <f>AE48*AB48%</f>
        <v>0</v>
      </c>
      <c r="AG48" s="364"/>
      <c r="AH48" s="28"/>
      <c r="AI48" s="42"/>
      <c r="AJ48" s="32"/>
      <c r="AK48" s="32"/>
      <c r="AL48" s="32"/>
      <c r="AM48" s="32"/>
      <c r="AN48" s="32"/>
      <c r="AO48" s="32"/>
      <c r="AP48" s="32"/>
      <c r="AQ48" s="33"/>
    </row>
    <row r="49" spans="1:43" s="4" customFormat="1" ht="15" customHeight="1" x14ac:dyDescent="0.2">
      <c r="A49" s="253"/>
      <c r="B49" s="253"/>
      <c r="C49" s="253"/>
      <c r="D49" s="253"/>
      <c r="E49" s="253"/>
      <c r="F49" s="253"/>
      <c r="G49" s="253"/>
      <c r="H49" s="253"/>
      <c r="I49" s="37"/>
      <c r="J49" s="37"/>
      <c r="K49" s="253"/>
      <c r="L49" s="253"/>
      <c r="M49" s="253"/>
      <c r="N49" s="38"/>
      <c r="O49" s="37"/>
      <c r="P49" s="37"/>
      <c r="Q49" s="37"/>
      <c r="R49" s="37"/>
      <c r="S49" s="37"/>
      <c r="T49" s="37"/>
      <c r="U49" s="37"/>
      <c r="V49" s="37"/>
      <c r="W49" s="37"/>
      <c r="X49" s="33"/>
      <c r="Y49" s="34" t="s">
        <v>117</v>
      </c>
      <c r="Z49" s="36"/>
      <c r="AA49" s="38"/>
      <c r="AB49" s="29"/>
      <c r="AC49" s="35"/>
      <c r="AD49" s="354">
        <f>-AE49/$D$2%</f>
        <v>0</v>
      </c>
      <c r="AE49" s="365"/>
      <c r="AF49" s="354">
        <f>AE49*AB49%</f>
        <v>0</v>
      </c>
      <c r="AG49" s="364"/>
      <c r="AH49" s="28"/>
      <c r="AI49" s="42"/>
      <c r="AJ49" s="32"/>
      <c r="AK49" s="32"/>
      <c r="AL49" s="32"/>
      <c r="AM49" s="32"/>
      <c r="AN49" s="32"/>
      <c r="AO49" s="32"/>
      <c r="AP49" s="32"/>
      <c r="AQ49" s="33"/>
    </row>
    <row r="50" spans="1:43" ht="15" customHeight="1" x14ac:dyDescent="0.2">
      <c r="A50" s="32"/>
      <c r="B50" s="32"/>
      <c r="C50" s="253"/>
      <c r="D50" s="253"/>
      <c r="E50" s="253"/>
      <c r="F50" s="253"/>
      <c r="G50" s="253"/>
      <c r="H50" s="253"/>
      <c r="I50" s="253"/>
      <c r="J50" s="253"/>
      <c r="K50" s="253"/>
      <c r="L50" s="397"/>
      <c r="M50" s="253"/>
      <c r="N50" s="37"/>
      <c r="O50" s="37"/>
      <c r="P50" s="37"/>
      <c r="Q50" s="37"/>
      <c r="R50" s="37"/>
      <c r="S50" s="37"/>
      <c r="T50" s="37"/>
      <c r="U50" s="37"/>
      <c r="V50" s="37"/>
      <c r="W50" s="37"/>
      <c r="X50" s="46">
        <f t="shared" ref="X50:X59" si="6">SUM(A50:W50)</f>
        <v>0</v>
      </c>
      <c r="Y50" s="96" t="s">
        <v>36</v>
      </c>
      <c r="Z50" s="354"/>
      <c r="AA50" s="37"/>
      <c r="AB50" s="29"/>
      <c r="AC50" s="364"/>
      <c r="AD50" s="31"/>
      <c r="AE50" s="33"/>
      <c r="AF50" s="31">
        <f t="shared" si="5"/>
        <v>0</v>
      </c>
      <c r="AG50" s="33"/>
      <c r="AH50" s="43">
        <f t="shared" si="3"/>
        <v>0</v>
      </c>
      <c r="AI50" s="93"/>
      <c r="AJ50" s="77"/>
      <c r="AK50" s="77"/>
      <c r="AL50" s="77"/>
      <c r="AM50" s="77"/>
      <c r="AN50" s="77"/>
      <c r="AO50" s="77"/>
      <c r="AP50" s="77"/>
      <c r="AQ50" s="46"/>
    </row>
    <row r="51" spans="1:43" ht="15" customHeight="1" x14ac:dyDescent="0.2">
      <c r="A51" s="38"/>
      <c r="B51" s="29"/>
      <c r="C51" s="37"/>
      <c r="D51" s="37"/>
      <c r="E51" s="29"/>
      <c r="F51" s="37"/>
      <c r="G51" s="37"/>
      <c r="H51" s="37"/>
      <c r="I51" s="29"/>
      <c r="J51" s="37"/>
      <c r="K51" s="37"/>
      <c r="L51" s="37"/>
      <c r="M51" s="37"/>
      <c r="N51" s="37"/>
      <c r="O51" s="37"/>
      <c r="P51" s="37"/>
      <c r="Q51" s="37"/>
      <c r="R51" s="29"/>
      <c r="S51" s="29"/>
      <c r="T51" s="37"/>
      <c r="U51" s="29"/>
      <c r="V51" s="37"/>
      <c r="W51" s="29"/>
      <c r="X51" s="46">
        <f t="shared" si="6"/>
        <v>0</v>
      </c>
      <c r="Y51" s="94" t="s">
        <v>31</v>
      </c>
      <c r="Z51" s="366"/>
      <c r="AA51" s="37"/>
      <c r="AB51" s="29"/>
      <c r="AC51" s="364"/>
      <c r="AD51" s="31">
        <f>X51*Z51/100</f>
        <v>0</v>
      </c>
      <c r="AE51" s="33"/>
      <c r="AF51" s="31">
        <f t="shared" si="5"/>
        <v>0</v>
      </c>
      <c r="AG51" s="33"/>
      <c r="AH51" s="43">
        <f t="shared" si="3"/>
        <v>0</v>
      </c>
      <c r="AI51" s="93"/>
      <c r="AJ51" s="77"/>
      <c r="AK51" s="77"/>
      <c r="AL51" s="77"/>
      <c r="AM51" s="77"/>
      <c r="AN51" s="77"/>
      <c r="AO51" s="77"/>
      <c r="AP51" s="77"/>
      <c r="AQ51" s="46"/>
    </row>
    <row r="52" spans="1:43" ht="15" customHeight="1" x14ac:dyDescent="0.2">
      <c r="A52" s="32"/>
      <c r="B52" s="32"/>
      <c r="C52" s="253"/>
      <c r="D52" s="253"/>
      <c r="E52" s="253"/>
      <c r="F52" s="253"/>
      <c r="G52" s="253"/>
      <c r="H52" s="253"/>
      <c r="I52" s="253"/>
      <c r="J52" s="253"/>
      <c r="K52" s="253"/>
      <c r="L52" s="253"/>
      <c r="M52" s="253"/>
      <c r="N52" s="37"/>
      <c r="O52" s="37"/>
      <c r="P52" s="37"/>
      <c r="Q52" s="37"/>
      <c r="R52" s="37"/>
      <c r="S52" s="37"/>
      <c r="T52" s="37"/>
      <c r="U52" s="37"/>
      <c r="V52" s="37"/>
      <c r="W52" s="37"/>
      <c r="X52" s="46">
        <f t="shared" si="6"/>
        <v>0</v>
      </c>
      <c r="Y52" s="27" t="s">
        <v>65</v>
      </c>
      <c r="Z52" s="354"/>
      <c r="AA52" s="37"/>
      <c r="AB52" s="37"/>
      <c r="AC52" s="365">
        <v>75</v>
      </c>
      <c r="AD52" s="36"/>
      <c r="AE52" s="35"/>
      <c r="AF52" s="36">
        <f>-SUM(AF44:AF51)</f>
        <v>0</v>
      </c>
      <c r="AG52" s="35">
        <f>-AF52*AC52/100</f>
        <v>0</v>
      </c>
      <c r="AH52" s="43">
        <f t="shared" si="3"/>
        <v>0</v>
      </c>
      <c r="AI52" s="30">
        <f>AG52*65.2%</f>
        <v>0</v>
      </c>
      <c r="AJ52" s="30">
        <f>AG52*9.9%</f>
        <v>0</v>
      </c>
      <c r="AK52" s="29">
        <f>AG52*13.3%</f>
        <v>0</v>
      </c>
      <c r="AL52" s="29">
        <f>AG52*7%</f>
        <v>0</v>
      </c>
      <c r="AM52" s="29">
        <f>AG52*0%</f>
        <v>0</v>
      </c>
      <c r="AN52" s="29">
        <f>AG52*3.2%</f>
        <v>0</v>
      </c>
      <c r="AO52" s="29">
        <f>AG52*1.5%</f>
        <v>0</v>
      </c>
      <c r="AP52" s="77"/>
      <c r="AQ52" s="46"/>
    </row>
    <row r="53" spans="1:43" ht="15" customHeight="1" x14ac:dyDescent="0.2">
      <c r="A53" s="32"/>
      <c r="B53" s="32"/>
      <c r="C53" s="253"/>
      <c r="D53" s="253"/>
      <c r="E53" s="29"/>
      <c r="F53" s="253"/>
      <c r="G53" s="253"/>
      <c r="H53" s="253"/>
      <c r="I53" s="29"/>
      <c r="J53" s="37"/>
      <c r="K53" s="37"/>
      <c r="L53" s="37"/>
      <c r="M53" s="37"/>
      <c r="N53" s="37"/>
      <c r="O53" s="29"/>
      <c r="P53" s="37"/>
      <c r="Q53" s="37"/>
      <c r="R53" s="37"/>
      <c r="S53" s="37"/>
      <c r="T53" s="29"/>
      <c r="U53" s="37"/>
      <c r="V53" s="29"/>
      <c r="W53" s="37"/>
      <c r="X53" s="46">
        <f t="shared" si="6"/>
        <v>0</v>
      </c>
      <c r="Y53" s="94" t="s">
        <v>16</v>
      </c>
      <c r="Z53" s="366"/>
      <c r="AA53" s="37"/>
      <c r="AB53" s="29"/>
      <c r="AC53" s="364"/>
      <c r="AD53" s="36">
        <f>X53*Z53/100</f>
        <v>0</v>
      </c>
      <c r="AE53" s="35"/>
      <c r="AF53" s="36">
        <f>X53*AB53/100</f>
        <v>0</v>
      </c>
      <c r="AG53" s="35"/>
      <c r="AH53" s="43">
        <f t="shared" ref="AH53:AH80" si="7">SUM(AI53:AQ53)</f>
        <v>0</v>
      </c>
      <c r="AI53" s="82"/>
      <c r="AJ53" s="81"/>
      <c r="AK53" s="81"/>
      <c r="AL53" s="81"/>
      <c r="AM53" s="81"/>
      <c r="AN53" s="81"/>
      <c r="AO53" s="81"/>
      <c r="AP53" s="77"/>
      <c r="AQ53" s="46"/>
    </row>
    <row r="54" spans="1:43" ht="15" customHeight="1" x14ac:dyDescent="0.2">
      <c r="A54" s="32"/>
      <c r="B54" s="32"/>
      <c r="C54" s="253"/>
      <c r="D54" s="253"/>
      <c r="E54" s="253"/>
      <c r="F54" s="253"/>
      <c r="G54" s="253"/>
      <c r="H54" s="253"/>
      <c r="I54" s="29"/>
      <c r="J54" s="37"/>
      <c r="K54" s="37"/>
      <c r="L54" s="29"/>
      <c r="M54" s="37"/>
      <c r="N54" s="37"/>
      <c r="O54" s="29"/>
      <c r="P54" s="37"/>
      <c r="Q54" s="37"/>
      <c r="R54" s="37"/>
      <c r="S54" s="29"/>
      <c r="T54" s="29"/>
      <c r="U54" s="37"/>
      <c r="V54" s="37"/>
      <c r="W54" s="37"/>
      <c r="X54" s="46">
        <f t="shared" si="6"/>
        <v>0</v>
      </c>
      <c r="Y54" s="94" t="s">
        <v>17</v>
      </c>
      <c r="Z54" s="354"/>
      <c r="AA54" s="37"/>
      <c r="AB54" s="29"/>
      <c r="AC54" s="364"/>
      <c r="AD54" s="36">
        <f>X54*Z54/100</f>
        <v>0</v>
      </c>
      <c r="AE54" s="35"/>
      <c r="AF54" s="36">
        <f>X54*AB54/100</f>
        <v>0</v>
      </c>
      <c r="AG54" s="35"/>
      <c r="AH54" s="43">
        <f t="shared" si="7"/>
        <v>0</v>
      </c>
      <c r="AI54" s="82"/>
      <c r="AJ54" s="81"/>
      <c r="AK54" s="81"/>
      <c r="AL54" s="81"/>
      <c r="AM54" s="81"/>
      <c r="AN54" s="81"/>
      <c r="AO54" s="81"/>
      <c r="AP54" s="77"/>
      <c r="AQ54" s="46"/>
    </row>
    <row r="55" spans="1:43" ht="15" customHeight="1" x14ac:dyDescent="0.2">
      <c r="A55" s="32"/>
      <c r="B55" s="32"/>
      <c r="C55" s="253"/>
      <c r="D55" s="253"/>
      <c r="E55" s="253"/>
      <c r="F55" s="253"/>
      <c r="G55" s="253"/>
      <c r="H55" s="253"/>
      <c r="I55" s="253"/>
      <c r="J55" s="253"/>
      <c r="K55" s="253"/>
      <c r="L55" s="253"/>
      <c r="M55" s="253"/>
      <c r="N55" s="37"/>
      <c r="O55" s="37"/>
      <c r="P55" s="37"/>
      <c r="Q55" s="37"/>
      <c r="R55" s="37"/>
      <c r="S55" s="37"/>
      <c r="T55" s="37"/>
      <c r="U55" s="37"/>
      <c r="V55" s="37"/>
      <c r="W55" s="37"/>
      <c r="X55" s="46">
        <f t="shared" si="6"/>
        <v>0</v>
      </c>
      <c r="Y55" s="27" t="s">
        <v>66</v>
      </c>
      <c r="Z55" s="354"/>
      <c r="AA55" s="37"/>
      <c r="AB55" s="37"/>
      <c r="AC55" s="365">
        <v>75</v>
      </c>
      <c r="AD55" s="36"/>
      <c r="AE55" s="35"/>
      <c r="AF55" s="36">
        <f>-SUM(AF53:AF54)</f>
        <v>0</v>
      </c>
      <c r="AG55" s="35">
        <f>-AF55*AC55/100</f>
        <v>0</v>
      </c>
      <c r="AH55" s="43">
        <f t="shared" si="7"/>
        <v>0</v>
      </c>
      <c r="AI55" s="30">
        <f>AG55*65.2%</f>
        <v>0</v>
      </c>
      <c r="AJ55" s="30">
        <f>AG55*9.9%</f>
        <v>0</v>
      </c>
      <c r="AK55" s="29">
        <f>AG55*13.3%</f>
        <v>0</v>
      </c>
      <c r="AL55" s="29">
        <f>AG55*7%</f>
        <v>0</v>
      </c>
      <c r="AM55" s="29">
        <f>AG55*0%</f>
        <v>0</v>
      </c>
      <c r="AN55" s="29">
        <f>AG55*3.2%</f>
        <v>0</v>
      </c>
      <c r="AO55" s="29">
        <f>AG55*1.5%</f>
        <v>0</v>
      </c>
      <c r="AP55" s="77"/>
      <c r="AQ55" s="46"/>
    </row>
    <row r="56" spans="1:43" ht="15" customHeight="1" x14ac:dyDescent="0.2">
      <c r="A56" s="32"/>
      <c r="B56" s="32"/>
      <c r="C56" s="253"/>
      <c r="D56" s="29"/>
      <c r="E56" s="398">
        <f>0.498*(1+G95)</f>
        <v>0.47808</v>
      </c>
      <c r="F56" s="253"/>
      <c r="G56" s="253"/>
      <c r="H56" s="253"/>
      <c r="I56" s="29"/>
      <c r="J56" s="253"/>
      <c r="K56" s="253"/>
      <c r="L56" s="253"/>
      <c r="M56" s="253"/>
      <c r="N56" s="37"/>
      <c r="O56" s="29"/>
      <c r="P56" s="29"/>
      <c r="Q56" s="29"/>
      <c r="R56" s="398">
        <f>21.22*(1+G95)</f>
        <v>20.371199999999998</v>
      </c>
      <c r="S56" s="29"/>
      <c r="T56" s="29"/>
      <c r="U56" s="37"/>
      <c r="V56" s="37"/>
      <c r="W56" s="37"/>
      <c r="X56" s="46">
        <f t="shared" si="6"/>
        <v>20.849279999999997</v>
      </c>
      <c r="Y56" s="94" t="s">
        <v>28</v>
      </c>
      <c r="Z56" s="354"/>
      <c r="AA56" s="37"/>
      <c r="AB56" s="29">
        <v>100</v>
      </c>
      <c r="AC56" s="364"/>
      <c r="AD56" s="36"/>
      <c r="AE56" s="35"/>
      <c r="AF56" s="36">
        <f>X56*AB56/100</f>
        <v>20.84928</v>
      </c>
      <c r="AG56" s="35"/>
      <c r="AH56" s="43">
        <f t="shared" si="7"/>
        <v>0</v>
      </c>
      <c r="AI56" s="82"/>
      <c r="AJ56" s="81"/>
      <c r="AK56" s="81"/>
      <c r="AL56" s="81"/>
      <c r="AM56" s="81"/>
      <c r="AN56" s="81"/>
      <c r="AO56" s="81"/>
      <c r="AP56" s="77"/>
      <c r="AQ56" s="46"/>
    </row>
    <row r="57" spans="1:43" s="4" customFormat="1" ht="15" customHeight="1" x14ac:dyDescent="0.2">
      <c r="A57" s="32"/>
      <c r="B57" s="32"/>
      <c r="C57" s="32"/>
      <c r="D57" s="32"/>
      <c r="E57" s="32"/>
      <c r="F57" s="32"/>
      <c r="G57" s="32"/>
      <c r="H57" s="32"/>
      <c r="I57" s="38"/>
      <c r="J57" s="32"/>
      <c r="K57" s="32"/>
      <c r="L57" s="32"/>
      <c r="M57" s="32"/>
      <c r="N57" s="29">
        <f>AF57-AE57</f>
        <v>0</v>
      </c>
      <c r="O57" s="38"/>
      <c r="P57" s="38"/>
      <c r="Q57" s="38"/>
      <c r="R57" s="38"/>
      <c r="S57" s="38"/>
      <c r="T57" s="38"/>
      <c r="U57" s="38"/>
      <c r="V57" s="38"/>
      <c r="W57" s="38"/>
      <c r="X57" s="46">
        <f t="shared" si="6"/>
        <v>0</v>
      </c>
      <c r="Y57" s="34" t="s">
        <v>120</v>
      </c>
      <c r="Z57" s="36"/>
      <c r="AA57" s="38"/>
      <c r="AB57" s="29"/>
      <c r="AC57" s="35"/>
      <c r="AD57" s="36">
        <f>-AE57/$D$2%</f>
        <v>0</v>
      </c>
      <c r="AE57" s="379"/>
      <c r="AF57" s="45">
        <f>AE57*AB57%</f>
        <v>0</v>
      </c>
      <c r="AG57" s="33"/>
      <c r="AH57" s="28"/>
      <c r="AI57" s="39"/>
      <c r="AJ57" s="38"/>
      <c r="AK57" s="38"/>
      <c r="AL57" s="38"/>
      <c r="AM57" s="38"/>
      <c r="AN57" s="38"/>
      <c r="AO57" s="38"/>
      <c r="AP57" s="32"/>
      <c r="AQ57" s="33"/>
    </row>
    <row r="58" spans="1:43" s="4" customFormat="1" ht="15" customHeight="1" x14ac:dyDescent="0.2">
      <c r="A58" s="38"/>
      <c r="B58" s="38"/>
      <c r="C58" s="38"/>
      <c r="D58" s="38"/>
      <c r="E58" s="38"/>
      <c r="F58" s="38"/>
      <c r="G58" s="38"/>
      <c r="H58" s="38"/>
      <c r="I58" s="38"/>
      <c r="J58" s="38"/>
      <c r="K58" s="38"/>
      <c r="L58" s="38"/>
      <c r="M58" s="38"/>
      <c r="N58" s="38"/>
      <c r="O58" s="38"/>
      <c r="P58" s="38"/>
      <c r="Q58" s="38"/>
      <c r="R58" s="38"/>
      <c r="S58" s="38"/>
      <c r="T58" s="38"/>
      <c r="U58" s="38"/>
      <c r="V58" s="38"/>
      <c r="W58" s="38"/>
      <c r="X58" s="46">
        <f t="shared" si="6"/>
        <v>0</v>
      </c>
      <c r="Y58" s="34" t="s">
        <v>118</v>
      </c>
      <c r="Z58" s="36"/>
      <c r="AA58" s="38"/>
      <c r="AB58" s="29"/>
      <c r="AC58" s="35"/>
      <c r="AD58" s="36">
        <f>-AE58/$D$2%</f>
        <v>0</v>
      </c>
      <c r="AE58" s="365"/>
      <c r="AF58" s="354">
        <f>X58*AB58/100</f>
        <v>0</v>
      </c>
      <c r="AG58" s="35"/>
      <c r="AH58" s="28"/>
      <c r="AI58" s="39"/>
      <c r="AJ58" s="38"/>
      <c r="AK58" s="38"/>
      <c r="AL58" s="38"/>
      <c r="AM58" s="38"/>
      <c r="AN58" s="38"/>
      <c r="AO58" s="38"/>
      <c r="AP58" s="32"/>
      <c r="AQ58" s="33"/>
    </row>
    <row r="59" spans="1:43" s="4" customFormat="1" ht="15" customHeight="1" x14ac:dyDescent="0.2">
      <c r="A59" s="32"/>
      <c r="B59" s="32"/>
      <c r="C59" s="38"/>
      <c r="D59" s="38"/>
      <c r="E59" s="38"/>
      <c r="F59" s="38"/>
      <c r="G59" s="38"/>
      <c r="H59" s="38"/>
      <c r="I59" s="38"/>
      <c r="J59" s="38"/>
      <c r="K59" s="38"/>
      <c r="L59" s="38"/>
      <c r="M59" s="38"/>
      <c r="N59" s="38"/>
      <c r="O59" s="38"/>
      <c r="P59" s="38"/>
      <c r="Q59" s="38"/>
      <c r="R59" s="38"/>
      <c r="S59" s="38"/>
      <c r="T59" s="38"/>
      <c r="U59" s="38"/>
      <c r="V59" s="38"/>
      <c r="W59" s="38"/>
      <c r="X59" s="46">
        <f t="shared" si="6"/>
        <v>0</v>
      </c>
      <c r="Y59" s="34" t="s">
        <v>119</v>
      </c>
      <c r="Z59" s="36"/>
      <c r="AA59" s="38"/>
      <c r="AB59" s="38"/>
      <c r="AC59" s="35"/>
      <c r="AD59" s="36"/>
      <c r="AE59" s="35"/>
      <c r="AF59" s="36">
        <f>X59*AB59/100</f>
        <v>0</v>
      </c>
      <c r="AG59" s="35"/>
      <c r="AH59" s="28"/>
      <c r="AI59" s="39"/>
      <c r="AJ59" s="38"/>
      <c r="AK59" s="38"/>
      <c r="AL59" s="38"/>
      <c r="AM59" s="38"/>
      <c r="AN59" s="38"/>
      <c r="AO59" s="38"/>
      <c r="AP59" s="32"/>
      <c r="AQ59" s="33"/>
    </row>
    <row r="60" spans="1:43" ht="15" customHeight="1" x14ac:dyDescent="0.2">
      <c r="A60" s="32"/>
      <c r="B60" s="32"/>
      <c r="C60" s="253"/>
      <c r="D60" s="253"/>
      <c r="E60" s="253"/>
      <c r="F60" s="253"/>
      <c r="G60" s="253"/>
      <c r="H60" s="253"/>
      <c r="I60" s="380"/>
      <c r="J60" s="253"/>
      <c r="K60" s="253"/>
      <c r="L60" s="29"/>
      <c r="M60" s="253"/>
      <c r="N60" s="37"/>
      <c r="O60" s="37"/>
      <c r="P60" s="37"/>
      <c r="Q60" s="37"/>
      <c r="R60" s="37"/>
      <c r="S60" s="37"/>
      <c r="T60" s="37"/>
      <c r="U60" s="37"/>
      <c r="V60" s="37"/>
      <c r="W60" s="37"/>
      <c r="X60" s="46">
        <f>SUM(A60:W60)</f>
        <v>0</v>
      </c>
      <c r="Y60" s="27" t="s">
        <v>241</v>
      </c>
      <c r="Z60" s="354"/>
      <c r="AA60" s="37"/>
      <c r="AB60" s="29"/>
      <c r="AC60" s="364"/>
      <c r="AD60" s="36"/>
      <c r="AE60" s="35"/>
      <c r="AF60" s="36">
        <f>X60*AB60/100</f>
        <v>0</v>
      </c>
      <c r="AG60" s="35"/>
      <c r="AH60" s="43">
        <f t="shared" si="7"/>
        <v>0</v>
      </c>
      <c r="AI60" s="82"/>
      <c r="AJ60" s="81"/>
      <c r="AK60" s="81"/>
      <c r="AL60" s="81"/>
      <c r="AM60" s="81"/>
      <c r="AN60" s="81"/>
      <c r="AO60" s="81"/>
      <c r="AP60" s="77"/>
      <c r="AQ60" s="46"/>
    </row>
    <row r="61" spans="1:43" ht="15" customHeight="1" x14ac:dyDescent="0.2">
      <c r="A61" s="31"/>
      <c r="B61" s="32"/>
      <c r="C61" s="253"/>
      <c r="D61" s="253"/>
      <c r="E61" s="253"/>
      <c r="F61" s="253"/>
      <c r="G61" s="253"/>
      <c r="H61" s="253"/>
      <c r="I61" s="253"/>
      <c r="J61" s="253"/>
      <c r="K61" s="253"/>
      <c r="L61" s="253"/>
      <c r="M61" s="253"/>
      <c r="N61" s="37"/>
      <c r="O61" s="37"/>
      <c r="P61" s="37"/>
      <c r="Q61" s="37"/>
      <c r="R61" s="37"/>
      <c r="S61" s="37"/>
      <c r="T61" s="37"/>
      <c r="U61" s="37"/>
      <c r="V61" s="37"/>
      <c r="W61" s="37"/>
      <c r="X61" s="46">
        <f>SUM(A61:W61)</f>
        <v>0</v>
      </c>
      <c r="Y61" s="94" t="s">
        <v>37</v>
      </c>
      <c r="Z61" s="354"/>
      <c r="AA61" s="37"/>
      <c r="AB61" s="37"/>
      <c r="AC61" s="364"/>
      <c r="AD61" s="36">
        <f>X61*Z61%</f>
        <v>0</v>
      </c>
      <c r="AE61" s="35"/>
      <c r="AF61" s="36">
        <f>X61*AB61%</f>
        <v>0</v>
      </c>
      <c r="AG61" s="35"/>
      <c r="AH61" s="43">
        <f t="shared" si="7"/>
        <v>0</v>
      </c>
      <c r="AI61" s="82"/>
      <c r="AJ61" s="81"/>
      <c r="AK61" s="81"/>
      <c r="AL61" s="81"/>
      <c r="AM61" s="81"/>
      <c r="AN61" s="81"/>
      <c r="AO61" s="81"/>
      <c r="AP61" s="77"/>
      <c r="AQ61" s="46"/>
    </row>
    <row r="62" spans="1:43" ht="15" customHeight="1" x14ac:dyDescent="0.2">
      <c r="A62" s="32"/>
      <c r="B62" s="32"/>
      <c r="C62" s="253"/>
      <c r="D62" s="253"/>
      <c r="E62" s="253"/>
      <c r="F62" s="253"/>
      <c r="G62" s="253"/>
      <c r="H62" s="253"/>
      <c r="I62" s="380"/>
      <c r="J62" s="253"/>
      <c r="K62" s="253"/>
      <c r="L62" s="253"/>
      <c r="M62" s="253"/>
      <c r="N62" s="37"/>
      <c r="O62" s="253"/>
      <c r="P62" s="253"/>
      <c r="Q62" s="253"/>
      <c r="R62" s="253"/>
      <c r="S62" s="253"/>
      <c r="T62" s="253"/>
      <c r="U62" s="253"/>
      <c r="V62" s="253"/>
      <c r="W62" s="253"/>
      <c r="X62" s="46">
        <f t="shared" ref="X62:X80" si="8">SUM(A62:W62)</f>
        <v>0</v>
      </c>
      <c r="Y62" s="27" t="s">
        <v>115</v>
      </c>
      <c r="Z62" s="354"/>
      <c r="AA62" s="37"/>
      <c r="AB62" s="37"/>
      <c r="AC62" s="365">
        <v>75</v>
      </c>
      <c r="AD62" s="36"/>
      <c r="AE62" s="35"/>
      <c r="AF62" s="374">
        <f>-SUM(AF56:AF61)</f>
        <v>-20.84928</v>
      </c>
      <c r="AG62" s="35">
        <f>-AF62*AC62/100</f>
        <v>15.636959999999998</v>
      </c>
      <c r="AH62" s="43">
        <f t="shared" si="7"/>
        <v>15.652596959999999</v>
      </c>
      <c r="AI62" s="30">
        <f>AG62*65.2%</f>
        <v>10.19529792</v>
      </c>
      <c r="AJ62" s="30">
        <f>AG62*9.9%</f>
        <v>1.5480590399999998</v>
      </c>
      <c r="AK62" s="29">
        <f>AG62*13.3%</f>
        <v>2.0797156800000001</v>
      </c>
      <c r="AL62" s="29">
        <f>AG62*7%</f>
        <v>1.0945872000000001</v>
      </c>
      <c r="AM62" s="29">
        <f>AG62*0%</f>
        <v>0</v>
      </c>
      <c r="AN62" s="29">
        <f>AG62*3.2%</f>
        <v>0.50038271999999995</v>
      </c>
      <c r="AO62" s="29">
        <f>AG62*1.5%</f>
        <v>0.23455439999999997</v>
      </c>
      <c r="AP62" s="77"/>
      <c r="AQ62" s="46"/>
    </row>
    <row r="63" spans="1:43" ht="15" customHeight="1" x14ac:dyDescent="0.2">
      <c r="A63" s="32"/>
      <c r="B63" s="32"/>
      <c r="C63" s="253"/>
      <c r="D63" s="29"/>
      <c r="E63" s="253"/>
      <c r="F63" s="253"/>
      <c r="G63" s="253"/>
      <c r="H63" s="253"/>
      <c r="I63" s="37"/>
      <c r="J63" s="253"/>
      <c r="K63" s="253"/>
      <c r="L63" s="253"/>
      <c r="M63" s="253"/>
      <c r="N63" s="37"/>
      <c r="O63" s="253"/>
      <c r="P63" s="29"/>
      <c r="Q63" s="253"/>
      <c r="R63" s="253"/>
      <c r="S63" s="29"/>
      <c r="T63" s="253"/>
      <c r="U63" s="29"/>
      <c r="V63" s="253"/>
      <c r="W63" s="29"/>
      <c r="X63" s="46">
        <f t="shared" si="8"/>
        <v>0</v>
      </c>
      <c r="Y63" s="94" t="s">
        <v>20</v>
      </c>
      <c r="Z63" s="366"/>
      <c r="AA63" s="37"/>
      <c r="AB63" s="29"/>
      <c r="AC63" s="364"/>
      <c r="AD63" s="31">
        <f t="shared" ref="AD63:AD68" si="9">Z63/100*X63</f>
        <v>0</v>
      </c>
      <c r="AE63" s="33"/>
      <c r="AF63" s="31">
        <f t="shared" ref="AF63:AF67" si="10">X63*AB63/100</f>
        <v>0</v>
      </c>
      <c r="AG63" s="33"/>
      <c r="AH63" s="43">
        <f t="shared" si="7"/>
        <v>0</v>
      </c>
      <c r="AI63" s="82"/>
      <c r="AJ63" s="81"/>
      <c r="AK63" s="81"/>
      <c r="AL63" s="81"/>
      <c r="AM63" s="81"/>
      <c r="AN63" s="81"/>
      <c r="AO63" s="81"/>
      <c r="AP63" s="77"/>
      <c r="AQ63" s="46"/>
    </row>
    <row r="64" spans="1:43" ht="15" customHeight="1" x14ac:dyDescent="0.2">
      <c r="A64" s="32"/>
      <c r="B64" s="32"/>
      <c r="C64" s="253"/>
      <c r="D64" s="253"/>
      <c r="E64" s="253"/>
      <c r="F64" s="253"/>
      <c r="G64" s="253"/>
      <c r="H64" s="253"/>
      <c r="I64" s="29"/>
      <c r="J64" s="253"/>
      <c r="K64" s="253"/>
      <c r="L64" s="253"/>
      <c r="M64" s="253"/>
      <c r="N64" s="37"/>
      <c r="O64" s="29"/>
      <c r="P64" s="37"/>
      <c r="Q64" s="37"/>
      <c r="R64" s="37"/>
      <c r="S64" s="37"/>
      <c r="T64" s="29"/>
      <c r="U64" s="253"/>
      <c r="V64" s="253"/>
      <c r="W64" s="253"/>
      <c r="X64" s="46">
        <f t="shared" si="8"/>
        <v>0</v>
      </c>
      <c r="Y64" s="94" t="s">
        <v>21</v>
      </c>
      <c r="Z64" s="366"/>
      <c r="AA64" s="37"/>
      <c r="AB64" s="29"/>
      <c r="AC64" s="364"/>
      <c r="AD64" s="31">
        <f t="shared" si="9"/>
        <v>0</v>
      </c>
      <c r="AE64" s="33"/>
      <c r="AF64" s="31">
        <f t="shared" si="10"/>
        <v>0</v>
      </c>
      <c r="AG64" s="33"/>
      <c r="AH64" s="43">
        <f t="shared" si="7"/>
        <v>0</v>
      </c>
      <c r="AI64" s="82"/>
      <c r="AJ64" s="81"/>
      <c r="AK64" s="81"/>
      <c r="AL64" s="81"/>
      <c r="AM64" s="81"/>
      <c r="AN64" s="81"/>
      <c r="AO64" s="81"/>
      <c r="AP64" s="77"/>
      <c r="AQ64" s="46"/>
    </row>
    <row r="65" spans="1:43" ht="15" customHeight="1" x14ac:dyDescent="0.2">
      <c r="A65" s="32"/>
      <c r="B65" s="32"/>
      <c r="C65" s="253"/>
      <c r="D65" s="253"/>
      <c r="E65" s="29"/>
      <c r="F65" s="253"/>
      <c r="G65" s="253"/>
      <c r="H65" s="253"/>
      <c r="I65" s="29"/>
      <c r="J65" s="253"/>
      <c r="K65" s="253"/>
      <c r="L65" s="253"/>
      <c r="M65" s="253"/>
      <c r="N65" s="37"/>
      <c r="O65" s="253"/>
      <c r="P65" s="253"/>
      <c r="Q65" s="253"/>
      <c r="R65" s="253"/>
      <c r="S65" s="253"/>
      <c r="T65" s="253"/>
      <c r="U65" s="253"/>
      <c r="V65" s="253"/>
      <c r="W65" s="253"/>
      <c r="X65" s="46">
        <f t="shared" si="8"/>
        <v>0</v>
      </c>
      <c r="Y65" s="94" t="s">
        <v>22</v>
      </c>
      <c r="Z65" s="366"/>
      <c r="AA65" s="37"/>
      <c r="AB65" s="29"/>
      <c r="AC65" s="364"/>
      <c r="AD65" s="31">
        <f>Z65/100*X65</f>
        <v>0</v>
      </c>
      <c r="AE65" s="33"/>
      <c r="AF65" s="31">
        <f>X65*AB65/100</f>
        <v>0</v>
      </c>
      <c r="AG65" s="33"/>
      <c r="AH65" s="43">
        <f t="shared" si="7"/>
        <v>0</v>
      </c>
      <c r="AI65" s="82"/>
      <c r="AJ65" s="81"/>
      <c r="AK65" s="81"/>
      <c r="AL65" s="81"/>
      <c r="AM65" s="81"/>
      <c r="AN65" s="81"/>
      <c r="AO65" s="81"/>
      <c r="AP65" s="77"/>
      <c r="AQ65" s="46"/>
    </row>
    <row r="66" spans="1:43" ht="15" customHeight="1" x14ac:dyDescent="0.2">
      <c r="A66" s="32"/>
      <c r="B66" s="32"/>
      <c r="C66" s="38"/>
      <c r="D66" s="38"/>
      <c r="E66" s="29"/>
      <c r="F66" s="38"/>
      <c r="G66" s="38"/>
      <c r="H66" s="38"/>
      <c r="I66" s="29"/>
      <c r="J66" s="32"/>
      <c r="K66" s="32"/>
      <c r="L66" s="32"/>
      <c r="M66" s="32"/>
      <c r="N66" s="38"/>
      <c r="O66" s="29"/>
      <c r="P66" s="38"/>
      <c r="Q66" s="38"/>
      <c r="R66" s="29"/>
      <c r="S66" s="29"/>
      <c r="T66" s="29"/>
      <c r="U66" s="29"/>
      <c r="V66" s="38"/>
      <c r="W66" s="29"/>
      <c r="X66" s="46">
        <f t="shared" si="8"/>
        <v>0</v>
      </c>
      <c r="Y66" s="94" t="s">
        <v>23</v>
      </c>
      <c r="Z66" s="354"/>
      <c r="AA66" s="37"/>
      <c r="AB66" s="29"/>
      <c r="AC66" s="364"/>
      <c r="AD66" s="31">
        <f t="shared" si="9"/>
        <v>0</v>
      </c>
      <c r="AE66" s="33"/>
      <c r="AF66" s="31">
        <f t="shared" si="10"/>
        <v>0</v>
      </c>
      <c r="AG66" s="33"/>
      <c r="AH66" s="43">
        <f t="shared" si="7"/>
        <v>0</v>
      </c>
      <c r="AI66" s="82"/>
      <c r="AJ66" s="81"/>
      <c r="AK66" s="81"/>
      <c r="AL66" s="81"/>
      <c r="AM66" s="81"/>
      <c r="AN66" s="81"/>
      <c r="AO66" s="81"/>
      <c r="AP66" s="77"/>
      <c r="AQ66" s="46"/>
    </row>
    <row r="67" spans="1:43" ht="15" customHeight="1" x14ac:dyDescent="0.2">
      <c r="A67" s="32"/>
      <c r="B67" s="32"/>
      <c r="C67" s="38"/>
      <c r="D67" s="38"/>
      <c r="E67" s="38"/>
      <c r="F67" s="38"/>
      <c r="G67" s="38"/>
      <c r="H67" s="38"/>
      <c r="I67" s="38"/>
      <c r="J67" s="32"/>
      <c r="K67" s="32"/>
      <c r="L67" s="32"/>
      <c r="M67" s="32"/>
      <c r="N67" s="38"/>
      <c r="O67" s="32"/>
      <c r="P67" s="38"/>
      <c r="Q67" s="32"/>
      <c r="R67" s="32"/>
      <c r="S67" s="32"/>
      <c r="T67" s="32"/>
      <c r="U67" s="32"/>
      <c r="V67" s="38"/>
      <c r="W67" s="32"/>
      <c r="X67" s="46">
        <f t="shared" si="8"/>
        <v>0</v>
      </c>
      <c r="Y67" s="94" t="s">
        <v>24</v>
      </c>
      <c r="Z67" s="354"/>
      <c r="AA67" s="37"/>
      <c r="AB67" s="37"/>
      <c r="AC67" s="364"/>
      <c r="AD67" s="31">
        <f t="shared" si="9"/>
        <v>0</v>
      </c>
      <c r="AE67" s="33"/>
      <c r="AF67" s="31">
        <f t="shared" si="10"/>
        <v>0</v>
      </c>
      <c r="AG67" s="33"/>
      <c r="AH67" s="43">
        <f t="shared" si="7"/>
        <v>0</v>
      </c>
      <c r="AI67" s="82"/>
      <c r="AJ67" s="81"/>
      <c r="AK67" s="81"/>
      <c r="AL67" s="81"/>
      <c r="AM67" s="81"/>
      <c r="AN67" s="81"/>
      <c r="AO67" s="81"/>
      <c r="AP67" s="77"/>
      <c r="AQ67" s="46"/>
    </row>
    <row r="68" spans="1:43" ht="15" customHeight="1" x14ac:dyDescent="0.2">
      <c r="A68" s="32"/>
      <c r="B68" s="32"/>
      <c r="C68" s="38"/>
      <c r="D68" s="38"/>
      <c r="E68" s="38"/>
      <c r="F68" s="38"/>
      <c r="G68" s="38"/>
      <c r="H68" s="38"/>
      <c r="I68" s="38"/>
      <c r="J68" s="32"/>
      <c r="K68" s="32"/>
      <c r="L68" s="32"/>
      <c r="M68" s="32"/>
      <c r="N68" s="38"/>
      <c r="O68" s="32"/>
      <c r="P68" s="38"/>
      <c r="Q68" s="32"/>
      <c r="R68" s="29"/>
      <c r="S68" s="38"/>
      <c r="T68" s="32"/>
      <c r="U68" s="32"/>
      <c r="V68" s="38"/>
      <c r="W68" s="32"/>
      <c r="X68" s="46">
        <f t="shared" si="8"/>
        <v>0</v>
      </c>
      <c r="Y68" s="94" t="s">
        <v>25</v>
      </c>
      <c r="Z68" s="354"/>
      <c r="AA68" s="37"/>
      <c r="AB68" s="37">
        <v>100</v>
      </c>
      <c r="AC68" s="364"/>
      <c r="AD68" s="31">
        <f t="shared" si="9"/>
        <v>0</v>
      </c>
      <c r="AE68" s="365"/>
      <c r="AF68" s="36"/>
      <c r="AG68" s="33"/>
      <c r="AH68" s="43">
        <f t="shared" si="7"/>
        <v>0</v>
      </c>
      <c r="AI68" s="82"/>
      <c r="AJ68" s="81"/>
      <c r="AK68" s="81"/>
      <c r="AL68" s="81"/>
      <c r="AM68" s="81"/>
      <c r="AN68" s="81"/>
      <c r="AO68" s="81"/>
      <c r="AP68" s="77"/>
      <c r="AQ68" s="46"/>
    </row>
    <row r="69" spans="1:43" ht="15" customHeight="1" x14ac:dyDescent="0.2">
      <c r="A69" s="32"/>
      <c r="B69" s="32"/>
      <c r="C69" s="32"/>
      <c r="D69" s="32"/>
      <c r="E69" s="32"/>
      <c r="F69" s="32"/>
      <c r="G69" s="32"/>
      <c r="H69" s="32"/>
      <c r="I69" s="32"/>
      <c r="J69" s="32"/>
      <c r="K69" s="32"/>
      <c r="L69" s="32"/>
      <c r="M69" s="32"/>
      <c r="N69" s="32"/>
      <c r="O69" s="32"/>
      <c r="P69" s="32"/>
      <c r="Q69" s="32"/>
      <c r="R69" s="32"/>
      <c r="S69" s="32"/>
      <c r="T69" s="32"/>
      <c r="U69" s="32"/>
      <c r="V69" s="38"/>
      <c r="W69" s="32"/>
      <c r="X69" s="46">
        <f t="shared" si="8"/>
        <v>0</v>
      </c>
      <c r="Y69" s="96" t="s">
        <v>26</v>
      </c>
      <c r="Z69" s="374"/>
      <c r="AA69" s="253"/>
      <c r="AB69" s="253"/>
      <c r="AC69" s="377"/>
      <c r="AD69" s="31">
        <f>-AE69</f>
        <v>0</v>
      </c>
      <c r="AE69" s="364"/>
      <c r="AF69" s="354"/>
      <c r="AG69" s="33"/>
      <c r="AH69" s="43">
        <f t="shared" si="7"/>
        <v>0</v>
      </c>
      <c r="AI69" s="82"/>
      <c r="AJ69" s="81"/>
      <c r="AK69" s="81"/>
      <c r="AL69" s="81"/>
      <c r="AM69" s="81"/>
      <c r="AN69" s="81">
        <f>AE69</f>
        <v>0</v>
      </c>
      <c r="AO69" s="81"/>
      <c r="AP69" s="77"/>
      <c r="AQ69" s="46"/>
    </row>
    <row r="70" spans="1:43"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46">
        <f t="shared" si="8"/>
        <v>0</v>
      </c>
      <c r="Y70" s="96" t="s">
        <v>27</v>
      </c>
      <c r="Z70" s="374"/>
      <c r="AA70" s="253"/>
      <c r="AB70" s="253"/>
      <c r="AC70" s="364"/>
      <c r="AD70" s="31"/>
      <c r="AE70" s="364"/>
      <c r="AF70" s="354"/>
      <c r="AG70" s="180"/>
      <c r="AH70" s="43">
        <f t="shared" si="7"/>
        <v>0</v>
      </c>
      <c r="AI70" s="82"/>
      <c r="AJ70" s="81"/>
      <c r="AK70" s="81"/>
      <c r="AL70" s="81"/>
      <c r="AM70" s="81"/>
      <c r="AN70" s="81">
        <f>-AF70</f>
        <v>0</v>
      </c>
      <c r="AO70" s="81"/>
      <c r="AP70" s="77"/>
      <c r="AQ70" s="46"/>
    </row>
    <row r="71" spans="1:43" ht="15" customHeight="1" x14ac:dyDescent="0.2">
      <c r="A71" s="32"/>
      <c r="B71" s="32"/>
      <c r="C71" s="32"/>
      <c r="D71" s="32"/>
      <c r="E71" s="32"/>
      <c r="F71" s="32"/>
      <c r="G71" s="32"/>
      <c r="H71" s="32"/>
      <c r="I71" s="32"/>
      <c r="J71" s="32"/>
      <c r="K71" s="32"/>
      <c r="L71" s="32"/>
      <c r="M71" s="32"/>
      <c r="N71" s="32"/>
      <c r="O71" s="32"/>
      <c r="P71" s="38"/>
      <c r="Q71" s="32"/>
      <c r="R71" s="32"/>
      <c r="S71" s="32"/>
      <c r="T71" s="32"/>
      <c r="U71" s="32"/>
      <c r="V71" s="32"/>
      <c r="W71" s="32"/>
      <c r="X71" s="46">
        <f t="shared" si="8"/>
        <v>0</v>
      </c>
      <c r="Y71" s="27" t="s">
        <v>67</v>
      </c>
      <c r="Z71" s="374"/>
      <c r="AA71" s="253"/>
      <c r="AB71" s="253"/>
      <c r="AC71" s="365">
        <v>75</v>
      </c>
      <c r="AD71" s="31"/>
      <c r="AE71" s="33"/>
      <c r="AF71" s="31">
        <f>-SUM(AF63:AF70)</f>
        <v>0</v>
      </c>
      <c r="AG71" s="33">
        <f>-AF71*AC71/100</f>
        <v>0</v>
      </c>
      <c r="AH71" s="43">
        <f t="shared" si="7"/>
        <v>0</v>
      </c>
      <c r="AI71" s="30">
        <f>AG71*65.2%</f>
        <v>0</v>
      </c>
      <c r="AJ71" s="30">
        <f>AG71*9.9%</f>
        <v>0</v>
      </c>
      <c r="AK71" s="29">
        <f>AG71*13.3%</f>
        <v>0</v>
      </c>
      <c r="AL71" s="29">
        <f>AG71*7%</f>
        <v>0</v>
      </c>
      <c r="AM71" s="29">
        <f>AG71*0%</f>
        <v>0</v>
      </c>
      <c r="AN71" s="29">
        <f>AG71*3.2%</f>
        <v>0</v>
      </c>
      <c r="AO71" s="29">
        <f>AG71*1.5%</f>
        <v>0</v>
      </c>
      <c r="AP71" s="77"/>
      <c r="AQ71" s="46"/>
    </row>
    <row r="72" spans="1:43" ht="15" customHeight="1" x14ac:dyDescent="0.2">
      <c r="A72" s="76"/>
      <c r="B72" s="77"/>
      <c r="C72" s="77"/>
      <c r="D72" s="77"/>
      <c r="E72" s="81"/>
      <c r="F72" s="81"/>
      <c r="G72" s="81"/>
      <c r="H72" s="219">
        <f>18.62*(1+O96)*(1-O107)</f>
        <v>16.847376000000001</v>
      </c>
      <c r="I72" s="81"/>
      <c r="J72" s="81"/>
      <c r="K72" s="81"/>
      <c r="L72" s="81"/>
      <c r="M72" s="81"/>
      <c r="N72" s="81"/>
      <c r="O72" s="81"/>
      <c r="P72" s="230">
        <f>18.62*(1+O96)*(O107)</f>
        <v>1.0278240000000001</v>
      </c>
      <c r="Q72" s="81"/>
      <c r="R72" s="81"/>
      <c r="S72" s="77"/>
      <c r="T72" s="77"/>
      <c r="U72" s="77"/>
      <c r="V72" s="77"/>
      <c r="W72" s="77"/>
      <c r="X72" s="46">
        <f t="shared" si="8"/>
        <v>17.8752</v>
      </c>
      <c r="Y72" s="27" t="s">
        <v>68</v>
      </c>
      <c r="Z72" s="31"/>
      <c r="AA72" s="32">
        <v>20</v>
      </c>
      <c r="AB72" s="32"/>
      <c r="AC72" s="33"/>
      <c r="AD72" s="31"/>
      <c r="AE72" s="33"/>
      <c r="AF72" s="31"/>
      <c r="AG72" s="33"/>
      <c r="AH72" s="43">
        <f t="shared" si="7"/>
        <v>3.57504</v>
      </c>
      <c r="AI72" s="82"/>
      <c r="AJ72" s="81"/>
      <c r="AK72" s="81"/>
      <c r="AL72" s="81"/>
      <c r="AM72" s="81"/>
      <c r="AN72" s="81"/>
      <c r="AO72" s="81"/>
      <c r="AP72" s="77"/>
      <c r="AQ72" s="46">
        <f>X72*AA72/100</f>
        <v>3.57504</v>
      </c>
    </row>
    <row r="73" spans="1:43" ht="15" customHeight="1" x14ac:dyDescent="0.2">
      <c r="A73" s="76"/>
      <c r="B73" s="77"/>
      <c r="C73" s="77"/>
      <c r="D73" s="77"/>
      <c r="E73" s="81"/>
      <c r="F73" s="219">
        <f>14.66*(1+O97)*(1-$O$108)</f>
        <v>10.888700340000002</v>
      </c>
      <c r="G73" s="81"/>
      <c r="H73" s="81"/>
      <c r="I73" s="81"/>
      <c r="J73" s="81"/>
      <c r="K73" s="81"/>
      <c r="L73" s="81"/>
      <c r="M73" s="81"/>
      <c r="N73" s="81"/>
      <c r="O73" s="81"/>
      <c r="P73" s="230">
        <f>14.66*(1+O97)*($O$108)</f>
        <v>0.70735966000000006</v>
      </c>
      <c r="Q73" s="81"/>
      <c r="R73" s="77"/>
      <c r="S73" s="77"/>
      <c r="T73" s="77"/>
      <c r="U73" s="77"/>
      <c r="V73" s="77"/>
      <c r="W73" s="77"/>
      <c r="X73" s="46">
        <f t="shared" si="8"/>
        <v>11.596060000000001</v>
      </c>
      <c r="Y73" s="27" t="s">
        <v>69</v>
      </c>
      <c r="Z73" s="31"/>
      <c r="AA73" s="32">
        <v>25</v>
      </c>
      <c r="AB73" s="32"/>
      <c r="AC73" s="33"/>
      <c r="AD73" s="31"/>
      <c r="AE73" s="33"/>
      <c r="AF73" s="31"/>
      <c r="AG73" s="33"/>
      <c r="AH73" s="43">
        <f t="shared" si="7"/>
        <v>2.8990150000000003</v>
      </c>
      <c r="AI73" s="93"/>
      <c r="AJ73" s="77"/>
      <c r="AK73" s="77"/>
      <c r="AL73" s="77"/>
      <c r="AM73" s="77"/>
      <c r="AN73" s="77"/>
      <c r="AO73" s="77"/>
      <c r="AP73" s="77"/>
      <c r="AQ73" s="46">
        <f>X73*AA73/100</f>
        <v>2.8990150000000003</v>
      </c>
    </row>
    <row r="74" spans="1:43" ht="15" customHeight="1" x14ac:dyDescent="0.2">
      <c r="A74" s="31"/>
      <c r="B74" s="77"/>
      <c r="C74" s="77"/>
      <c r="D74" s="77"/>
      <c r="E74" s="81"/>
      <c r="F74" s="219">
        <f>14.07*(1+O99)*(1-$O$108)</f>
        <v>12.870867366000001</v>
      </c>
      <c r="G74" s="81"/>
      <c r="H74" s="81"/>
      <c r="I74" s="81"/>
      <c r="J74" s="81"/>
      <c r="K74" s="81"/>
      <c r="L74" s="81"/>
      <c r="M74" s="81"/>
      <c r="N74" s="81"/>
      <c r="O74" s="81"/>
      <c r="P74" s="230">
        <f>14.07*(1+O99)*($O$108)</f>
        <v>0.83612663399999998</v>
      </c>
      <c r="Q74" s="81"/>
      <c r="R74" s="77"/>
      <c r="S74" s="77"/>
      <c r="T74" s="77"/>
      <c r="U74" s="77"/>
      <c r="V74" s="77"/>
      <c r="W74" s="77"/>
      <c r="X74" s="46">
        <f t="shared" si="8"/>
        <v>13.706994</v>
      </c>
      <c r="Y74" s="34" t="s">
        <v>121</v>
      </c>
      <c r="Z74" s="31"/>
      <c r="AA74" s="32">
        <v>25</v>
      </c>
      <c r="AB74" s="32"/>
      <c r="AC74" s="33"/>
      <c r="AD74" s="31"/>
      <c r="AE74" s="33"/>
      <c r="AF74" s="31"/>
      <c r="AG74" s="33"/>
      <c r="AH74" s="28">
        <f t="shared" si="7"/>
        <v>3.4267485</v>
      </c>
      <c r="AI74" s="42"/>
      <c r="AJ74" s="32"/>
      <c r="AK74" s="32"/>
      <c r="AL74" s="32"/>
      <c r="AM74" s="32"/>
      <c r="AN74" s="32"/>
      <c r="AO74" s="32"/>
      <c r="AP74" s="32"/>
      <c r="AQ74" s="33">
        <f>X74*AA74/100</f>
        <v>3.4267485</v>
      </c>
    </row>
    <row r="75" spans="1:43" ht="15" customHeight="1" x14ac:dyDescent="0.2">
      <c r="A75" s="76"/>
      <c r="B75" s="77"/>
      <c r="C75" s="77"/>
      <c r="D75" s="77"/>
      <c r="E75" s="81"/>
      <c r="F75" s="219">
        <f>1.27*(1+O101)*(1-$O$108)</f>
        <v>1.020090162</v>
      </c>
      <c r="G75" s="81"/>
      <c r="H75" s="81"/>
      <c r="I75" s="81"/>
      <c r="J75" s="81"/>
      <c r="K75" s="81"/>
      <c r="L75" s="81"/>
      <c r="M75" s="81"/>
      <c r="N75" s="81"/>
      <c r="O75" s="81"/>
      <c r="P75" s="219">
        <f>1.27*(1+O101)*($O$108)</f>
        <v>6.6267837999999996E-2</v>
      </c>
      <c r="Q75" s="81"/>
      <c r="R75" s="77"/>
      <c r="S75" s="77"/>
      <c r="T75" s="77"/>
      <c r="U75" s="77"/>
      <c r="V75" s="77"/>
      <c r="W75" s="77"/>
      <c r="X75" s="46">
        <f t="shared" si="8"/>
        <v>1.0863579999999999</v>
      </c>
      <c r="Y75" s="94" t="s">
        <v>9</v>
      </c>
      <c r="Z75" s="31"/>
      <c r="AA75" s="32">
        <v>33</v>
      </c>
      <c r="AB75" s="32"/>
      <c r="AC75" s="33"/>
      <c r="AD75" s="31"/>
      <c r="AE75" s="33"/>
      <c r="AF75" s="31"/>
      <c r="AG75" s="33"/>
      <c r="AH75" s="43">
        <f t="shared" si="7"/>
        <v>0.35849813999999997</v>
      </c>
      <c r="AI75" s="93"/>
      <c r="AJ75" s="77"/>
      <c r="AK75" s="77"/>
      <c r="AL75" s="77"/>
      <c r="AM75" s="77"/>
      <c r="AN75" s="77"/>
      <c r="AO75" s="77"/>
      <c r="AP75" s="77"/>
      <c r="AQ75" s="46">
        <f>X75*AA75/100</f>
        <v>0.35849813999999997</v>
      </c>
    </row>
    <row r="76" spans="1:43" ht="15" customHeight="1" x14ac:dyDescent="0.2">
      <c r="A76" s="76"/>
      <c r="B76" s="77"/>
      <c r="C76" s="77"/>
      <c r="D76" s="77"/>
      <c r="E76" s="81"/>
      <c r="F76" s="219">
        <f>19.63*(1+O100)*(1-$O$108)</f>
        <v>17.719229541000001</v>
      </c>
      <c r="G76" s="81"/>
      <c r="H76" s="81"/>
      <c r="I76" s="81"/>
      <c r="J76" s="81"/>
      <c r="K76" s="81"/>
      <c r="L76" s="81"/>
      <c r="M76" s="81"/>
      <c r="N76" s="81"/>
      <c r="O76" s="81"/>
      <c r="P76" s="219">
        <f>19.63*(1+O100)*($O$108)</f>
        <v>1.1510894589999998</v>
      </c>
      <c r="Q76" s="81"/>
      <c r="R76" s="77"/>
      <c r="S76" s="77"/>
      <c r="T76" s="77"/>
      <c r="U76" s="77"/>
      <c r="V76" s="77"/>
      <c r="W76" s="77"/>
      <c r="X76" s="46">
        <f t="shared" si="8"/>
        <v>18.870319000000002</v>
      </c>
      <c r="Y76" s="27" t="s">
        <v>70</v>
      </c>
      <c r="Z76" s="31"/>
      <c r="AA76" s="32">
        <v>33</v>
      </c>
      <c r="AB76" s="32"/>
      <c r="AC76" s="33"/>
      <c r="AD76" s="31"/>
      <c r="AE76" s="33"/>
      <c r="AF76" s="31"/>
      <c r="AG76" s="33"/>
      <c r="AH76" s="43">
        <f t="shared" si="7"/>
        <v>6.2272052700000007</v>
      </c>
      <c r="AI76" s="93"/>
      <c r="AJ76" s="77"/>
      <c r="AK76" s="77"/>
      <c r="AL76" s="77"/>
      <c r="AM76" s="77"/>
      <c r="AN76" s="77"/>
      <c r="AO76" s="77"/>
      <c r="AP76" s="77"/>
      <c r="AQ76" s="46">
        <f>X76*AA76/100</f>
        <v>6.2272052700000007</v>
      </c>
    </row>
    <row r="77" spans="1:43" ht="15" customHeight="1" x14ac:dyDescent="0.2">
      <c r="A77" s="76"/>
      <c r="B77" s="77"/>
      <c r="C77" s="77"/>
      <c r="D77" s="77"/>
      <c r="E77" s="81"/>
      <c r="F77" s="29">
        <v>7.43</v>
      </c>
      <c r="G77" s="81"/>
      <c r="H77" s="81"/>
      <c r="I77" s="81"/>
      <c r="J77" s="81"/>
      <c r="K77" s="81"/>
      <c r="L77" s="81"/>
      <c r="M77" s="81"/>
      <c r="N77" s="81"/>
      <c r="O77" s="81"/>
      <c r="P77" s="81"/>
      <c r="Q77" s="81"/>
      <c r="R77" s="77"/>
      <c r="S77" s="77"/>
      <c r="T77" s="77"/>
      <c r="U77" s="77"/>
      <c r="V77" s="77"/>
      <c r="W77" s="77"/>
      <c r="X77" s="46">
        <f t="shared" si="8"/>
        <v>7.43</v>
      </c>
      <c r="Y77" s="34" t="s">
        <v>242</v>
      </c>
      <c r="Z77" s="31"/>
      <c r="AA77" s="32">
        <v>33</v>
      </c>
      <c r="AB77" s="32"/>
      <c r="AC77" s="33"/>
      <c r="AD77" s="31"/>
      <c r="AE77" s="33"/>
      <c r="AF77" s="31"/>
      <c r="AG77" s="33"/>
      <c r="AH77" s="43">
        <f t="shared" si="7"/>
        <v>2.4519000000000002</v>
      </c>
      <c r="AI77" s="93"/>
      <c r="AJ77" s="77"/>
      <c r="AK77" s="77"/>
      <c r="AL77" s="77"/>
      <c r="AM77" s="77"/>
      <c r="AN77" s="77"/>
      <c r="AO77" s="77"/>
      <c r="AP77" s="77">
        <f>X77*AA77%</f>
        <v>2.4519000000000002</v>
      </c>
      <c r="AQ77" s="46"/>
    </row>
    <row r="78" spans="1:43" ht="15" customHeight="1" x14ac:dyDescent="0.2">
      <c r="A78" s="97"/>
      <c r="B78" s="98"/>
      <c r="C78" s="99"/>
      <c r="D78" s="99"/>
      <c r="E78" s="99"/>
      <c r="F78" s="227">
        <f>O121</f>
        <v>0.28495823799999997</v>
      </c>
      <c r="G78" s="99"/>
      <c r="H78" s="99"/>
      <c r="I78" s="99"/>
      <c r="J78" s="98"/>
      <c r="K78" s="98"/>
      <c r="L78" s="98"/>
      <c r="M78" s="98"/>
      <c r="N78" s="98"/>
      <c r="O78" s="98"/>
      <c r="P78" s="98"/>
      <c r="Q78" s="98"/>
      <c r="R78" s="98"/>
      <c r="S78" s="98"/>
      <c r="T78" s="98"/>
      <c r="U78" s="98"/>
      <c r="V78" s="98"/>
      <c r="W78" s="98"/>
      <c r="X78" s="46">
        <f t="shared" si="8"/>
        <v>0.28495823799999997</v>
      </c>
      <c r="Y78" s="100" t="s">
        <v>32</v>
      </c>
      <c r="Z78" s="181"/>
      <c r="AA78" s="32">
        <v>33</v>
      </c>
      <c r="AB78" s="182"/>
      <c r="AC78" s="186"/>
      <c r="AD78" s="31">
        <f>-AE78/$D$2%</f>
        <v>0</v>
      </c>
      <c r="AE78" s="185"/>
      <c r="AF78" s="181"/>
      <c r="AG78" s="186"/>
      <c r="AH78" s="43">
        <f t="shared" si="7"/>
        <v>9.4036218539999994E-2</v>
      </c>
      <c r="AI78" s="102"/>
      <c r="AJ78" s="98"/>
      <c r="AK78" s="98"/>
      <c r="AL78" s="98"/>
      <c r="AM78" s="98"/>
      <c r="AN78" s="98"/>
      <c r="AO78" s="98"/>
      <c r="AP78" s="98"/>
      <c r="AQ78" s="46">
        <f>X78*AA78/100+AE78*AA78%</f>
        <v>9.4036218539999994E-2</v>
      </c>
    </row>
    <row r="79" spans="1:43" ht="15" customHeight="1" x14ac:dyDescent="0.2">
      <c r="A79" s="97"/>
      <c r="B79" s="98"/>
      <c r="C79" s="99"/>
      <c r="D79" s="99"/>
      <c r="E79" s="99"/>
      <c r="F79" s="99"/>
      <c r="G79" s="227">
        <f>'2018'!G79*(1+O103)</f>
        <v>16.310466000000002</v>
      </c>
      <c r="H79" s="227">
        <f>'2018'!H79*(1+O103)</f>
        <v>1.7500499999999999E-2</v>
      </c>
      <c r="I79" s="99"/>
      <c r="J79" s="98"/>
      <c r="K79" s="98"/>
      <c r="L79" s="98"/>
      <c r="M79" s="98"/>
      <c r="N79" s="98"/>
      <c r="O79" s="98"/>
      <c r="P79" s="98"/>
      <c r="Q79" s="98"/>
      <c r="R79" s="98"/>
      <c r="S79" s="98"/>
      <c r="T79" s="98"/>
      <c r="U79" s="98"/>
      <c r="V79" s="98"/>
      <c r="W79" s="98"/>
      <c r="X79" s="46">
        <f t="shared" si="8"/>
        <v>16.327966500000002</v>
      </c>
      <c r="Y79" s="100" t="s">
        <v>33</v>
      </c>
      <c r="Z79" s="181"/>
      <c r="AA79" s="32">
        <v>33</v>
      </c>
      <c r="AB79" s="182"/>
      <c r="AC79" s="186"/>
      <c r="AD79" s="181"/>
      <c r="AE79" s="186"/>
      <c r="AF79" s="181"/>
      <c r="AG79" s="186"/>
      <c r="AH79" s="43">
        <f t="shared" si="7"/>
        <v>5.3882289450000007</v>
      </c>
      <c r="AI79" s="103"/>
      <c r="AJ79" s="98"/>
      <c r="AK79" s="98"/>
      <c r="AL79" s="98"/>
      <c r="AM79" s="98"/>
      <c r="AN79" s="98"/>
      <c r="AO79" s="98"/>
      <c r="AP79" s="98"/>
      <c r="AQ79" s="46">
        <f>X79*AA79/100</f>
        <v>5.3882289450000007</v>
      </c>
    </row>
    <row r="80" spans="1:43" ht="15" customHeight="1" thickBot="1" x14ac:dyDescent="0.25">
      <c r="A80" s="97"/>
      <c r="B80" s="98"/>
      <c r="C80" s="99"/>
      <c r="D80" s="228">
        <f>'2018'!D80*(1+O102)</f>
        <v>9.8780000000000005E-4</v>
      </c>
      <c r="E80" s="99"/>
      <c r="F80" s="228">
        <f>'2018'!F80*(1+O102)</f>
        <v>1.9756</v>
      </c>
      <c r="G80" s="99"/>
      <c r="H80" s="99"/>
      <c r="I80" s="99"/>
      <c r="J80" s="98"/>
      <c r="K80" s="98"/>
      <c r="L80" s="98"/>
      <c r="M80" s="98"/>
      <c r="N80" s="98"/>
      <c r="O80" s="98"/>
      <c r="P80" s="98"/>
      <c r="Q80" s="98"/>
      <c r="R80" s="98"/>
      <c r="S80" s="98"/>
      <c r="T80" s="98"/>
      <c r="U80" s="98"/>
      <c r="V80" s="98"/>
      <c r="W80" s="98"/>
      <c r="X80" s="101">
        <f t="shared" si="8"/>
        <v>1.9765878000000001</v>
      </c>
      <c r="Y80" s="105" t="s">
        <v>11</v>
      </c>
      <c r="Z80" s="189"/>
      <c r="AA80" s="32">
        <v>33</v>
      </c>
      <c r="AB80" s="190"/>
      <c r="AC80" s="192"/>
      <c r="AD80" s="189"/>
      <c r="AE80" s="192"/>
      <c r="AF80" s="189"/>
      <c r="AG80" s="192"/>
      <c r="AH80" s="108">
        <f t="shared" si="7"/>
        <v>0.65227397399999998</v>
      </c>
      <c r="AI80" s="109"/>
      <c r="AJ80" s="106"/>
      <c r="AK80" s="106"/>
      <c r="AL80" s="106"/>
      <c r="AM80" s="106"/>
      <c r="AN80" s="106"/>
      <c r="AO80" s="106"/>
      <c r="AP80" s="106"/>
      <c r="AQ80" s="46">
        <f>X80*AA80/100</f>
        <v>0.65227397399999998</v>
      </c>
    </row>
    <row r="81" spans="1:44" ht="15" customHeight="1" thickBot="1" x14ac:dyDescent="0.25">
      <c r="A81" s="110">
        <f t="shared" ref="A81:X81" si="11">SUM(A8:A80)</f>
        <v>44.480998126055781</v>
      </c>
      <c r="B81" s="111">
        <f t="shared" si="11"/>
        <v>0.89</v>
      </c>
      <c r="C81" s="111">
        <f t="shared" si="11"/>
        <v>0</v>
      </c>
      <c r="D81" s="111">
        <f t="shared" si="11"/>
        <v>9.8780000000000005E-4</v>
      </c>
      <c r="E81" s="111">
        <f t="shared" si="11"/>
        <v>7.6060799999999995</v>
      </c>
      <c r="F81" s="111">
        <f t="shared" si="11"/>
        <v>52.189445647000007</v>
      </c>
      <c r="G81" s="111">
        <f t="shared" si="11"/>
        <v>16.310466000000002</v>
      </c>
      <c r="H81" s="111">
        <f t="shared" si="11"/>
        <v>16.864876500000001</v>
      </c>
      <c r="I81" s="111">
        <f t="shared" si="11"/>
        <v>0</v>
      </c>
      <c r="J81" s="111">
        <f t="shared" si="11"/>
        <v>-6.9644848000000037E-2</v>
      </c>
      <c r="K81" s="111">
        <f t="shared" si="11"/>
        <v>0.34699999999999998</v>
      </c>
      <c r="L81" s="111">
        <f t="shared" si="11"/>
        <v>19.0136</v>
      </c>
      <c r="M81" s="111">
        <f t="shared" si="11"/>
        <v>0</v>
      </c>
      <c r="N81" s="111">
        <f t="shared" si="11"/>
        <v>7.7088000000000001</v>
      </c>
      <c r="O81" s="111">
        <f t="shared" si="11"/>
        <v>0</v>
      </c>
      <c r="P81" s="111">
        <f t="shared" si="11"/>
        <v>3.7886675909999994</v>
      </c>
      <c r="Q81" s="111">
        <f t="shared" si="11"/>
        <v>1.1712</v>
      </c>
      <c r="R81" s="111">
        <f t="shared" si="11"/>
        <v>48.681599999999996</v>
      </c>
      <c r="S81" s="111">
        <f t="shared" si="11"/>
        <v>19.9072</v>
      </c>
      <c r="T81" s="111">
        <f t="shared" si="11"/>
        <v>0</v>
      </c>
      <c r="U81" s="111">
        <f t="shared" si="11"/>
        <v>0</v>
      </c>
      <c r="V81" s="111">
        <f t="shared" si="11"/>
        <v>0</v>
      </c>
      <c r="W81" s="111">
        <f t="shared" si="11"/>
        <v>0</v>
      </c>
      <c r="X81" s="112">
        <f t="shared" si="11"/>
        <v>238.89127681605578</v>
      </c>
      <c r="Y81" s="113" t="s">
        <v>2</v>
      </c>
      <c r="Z81" s="114"/>
      <c r="AA81" s="114"/>
      <c r="AB81" s="114"/>
      <c r="AC81" s="114"/>
      <c r="AD81" s="110">
        <f t="shared" ref="AD81:AQ81" si="12">SUM(AD8:AD80)</f>
        <v>-5.5511151231257827E-15</v>
      </c>
      <c r="AE81" s="112">
        <f t="shared" si="12"/>
        <v>57.772137485894234</v>
      </c>
      <c r="AF81" s="110">
        <f t="shared" si="12"/>
        <v>0</v>
      </c>
      <c r="AG81" s="112">
        <f t="shared" si="12"/>
        <v>15.636959999999998</v>
      </c>
      <c r="AH81" s="113">
        <f t="shared" si="12"/>
        <v>141.80238976954001</v>
      </c>
      <c r="AI81" s="115">
        <f t="shared" si="12"/>
        <v>80.255907919999984</v>
      </c>
      <c r="AJ81" s="111">
        <f t="shared" si="12"/>
        <v>4.4917330399999997</v>
      </c>
      <c r="AK81" s="111">
        <f t="shared" si="12"/>
        <v>5.8300076800000005</v>
      </c>
      <c r="AL81" s="111">
        <f t="shared" si="12"/>
        <v>7.3047332000000003</v>
      </c>
      <c r="AM81" s="111">
        <f t="shared" si="12"/>
        <v>1.3528E-2</v>
      </c>
      <c r="AN81" s="111">
        <f t="shared" si="12"/>
        <v>9.6288987199999987</v>
      </c>
      <c r="AO81" s="111">
        <f t="shared" si="12"/>
        <v>0.23455439999999997</v>
      </c>
      <c r="AP81" s="111">
        <f t="shared" si="12"/>
        <v>8.0055739999999993</v>
      </c>
      <c r="AQ81" s="112">
        <f t="shared" si="12"/>
        <v>26.037452809540007</v>
      </c>
    </row>
    <row r="82" spans="1:44" ht="15" customHeight="1" x14ac:dyDescent="0.25">
      <c r="A82" s="87">
        <f t="shared" ref="A82:V82" si="13">A81*A89/1000</f>
        <v>0</v>
      </c>
      <c r="B82" s="88">
        <f t="shared" si="13"/>
        <v>5.6159000000000001E-2</v>
      </c>
      <c r="C82" s="88">
        <f t="shared" si="13"/>
        <v>0</v>
      </c>
      <c r="D82" s="88">
        <f t="shared" si="13"/>
        <v>7.7917663999999996E-5</v>
      </c>
      <c r="E82" s="88">
        <f t="shared" si="13"/>
        <v>0.56284992</v>
      </c>
      <c r="F82" s="88">
        <f t="shared" si="13"/>
        <v>3.8620189778780003</v>
      </c>
      <c r="G82" s="88">
        <f t="shared" si="13"/>
        <v>1.1743535520000001</v>
      </c>
      <c r="H82" s="88">
        <f t="shared" si="13"/>
        <v>1.2311359845000003</v>
      </c>
      <c r="I82" s="88">
        <f t="shared" si="13"/>
        <v>0</v>
      </c>
      <c r="J82" s="88">
        <f t="shared" si="13"/>
        <v>0</v>
      </c>
      <c r="K82" s="88">
        <f t="shared" si="13"/>
        <v>0</v>
      </c>
      <c r="L82" s="88">
        <f t="shared" si="13"/>
        <v>0</v>
      </c>
      <c r="M82" s="88">
        <f t="shared" si="13"/>
        <v>0</v>
      </c>
      <c r="N82" s="88">
        <f t="shared" si="13"/>
        <v>0</v>
      </c>
      <c r="O82" s="88">
        <f t="shared" si="13"/>
        <v>0</v>
      </c>
      <c r="P82" s="88">
        <f t="shared" si="13"/>
        <v>0</v>
      </c>
      <c r="Q82" s="88">
        <f t="shared" si="13"/>
        <v>0</v>
      </c>
      <c r="R82" s="88">
        <f t="shared" si="13"/>
        <v>0</v>
      </c>
      <c r="S82" s="88">
        <f t="shared" si="13"/>
        <v>0</v>
      </c>
      <c r="T82" s="88">
        <f t="shared" si="13"/>
        <v>0</v>
      </c>
      <c r="U82" s="88">
        <f t="shared" si="13"/>
        <v>0</v>
      </c>
      <c r="V82" s="88">
        <f t="shared" si="13"/>
        <v>0</v>
      </c>
      <c r="W82" s="88">
        <f>W81*W89/1000</f>
        <v>0</v>
      </c>
      <c r="X82" s="90">
        <f>SUM(A82:W82)</f>
        <v>6.8865953520420007</v>
      </c>
      <c r="Y82" s="116" t="s">
        <v>243</v>
      </c>
      <c r="Z82" s="117">
        <f>X82*1000/D1</f>
        <v>3.8110654964261212</v>
      </c>
      <c r="AA82" s="118" t="s">
        <v>12</v>
      </c>
      <c r="AB82" s="118"/>
      <c r="AC82" s="119"/>
      <c r="AD82" s="120"/>
      <c r="AE82" s="120"/>
      <c r="AF82" s="120"/>
      <c r="AG82" s="120"/>
      <c r="AH82" s="120"/>
      <c r="AI82" s="120"/>
      <c r="AJ82" s="120"/>
      <c r="AK82" s="120"/>
      <c r="AL82" s="120"/>
      <c r="AM82" s="120"/>
      <c r="AN82" s="120"/>
      <c r="AO82" s="120"/>
      <c r="AP82" s="120"/>
      <c r="AQ82" s="120"/>
    </row>
    <row r="83" spans="1:44" ht="15" customHeight="1" x14ac:dyDescent="0.2">
      <c r="A83" s="31"/>
      <c r="B83" s="32"/>
      <c r="C83" s="32"/>
      <c r="D83" s="32"/>
      <c r="E83" s="32"/>
      <c r="F83" s="32"/>
      <c r="G83" s="32"/>
      <c r="H83" s="32"/>
      <c r="I83" s="32"/>
      <c r="J83" s="32"/>
      <c r="K83" s="32"/>
      <c r="L83" s="32"/>
      <c r="M83" s="32"/>
      <c r="N83" s="32"/>
      <c r="O83" s="29">
        <v>17.62</v>
      </c>
      <c r="P83" s="29">
        <v>28.26</v>
      </c>
      <c r="Q83" s="29">
        <v>3.58</v>
      </c>
      <c r="R83" s="29">
        <v>129.80000000000001</v>
      </c>
      <c r="S83" s="32"/>
      <c r="T83" s="32"/>
      <c r="U83" s="32"/>
      <c r="V83" s="32"/>
      <c r="W83" s="32"/>
      <c r="X83" s="46">
        <f>SUM(A83:W83)</f>
        <v>179.26000000000002</v>
      </c>
      <c r="Y83" s="43" t="s">
        <v>35</v>
      </c>
      <c r="Z83" s="25">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Z37%+AB37%)+SUM(J40:V40)*(Z40%+AB40%)+SUM(J41:V41)*(Z41%+AB41%)+SUM(J42:V42)*(Z42%+AB42%)+SUM(J44:V44)*(Z44%+AB44%)+SUM(J45:V45)*(Z45%+AB45%)+SUM(J46:V46)*(Z46%+AB46%)+SUM(J47:V47)*(Z47%+AB47%)+SUM(J48:V48)*(Z48%+AB48%)+SUM(J50:V50)*(Z50%+AB50%)+SUM(J51:V51)*(Z51%+AB51%)+SUM(J53:V53)*(Z53%+AA53%+AB53%)+SUM(J54:V54)*(Z54%+AA54%+AB54%)+SUM(J56:V56)*(Z56%+AB56%)+SUM(J57:V57)*(Z57%+AB57%)+SUM(J59:V59)*(Z59%+AB59%)+SUM(J60:V60)*(Z60%+AB60%)+SUM(J61:V61)*(Z61%+AB61%)+SUM(J63:V63)*(Z63%+AB63%)+SUM(J64:V64)*(Z64%+AB64%)+SUM(J65:V65)*(Z65%+AB65%)+SUM(J66:V66)*(Z66%+AB66%)+SUM(J67:V67)*(Z67%+AB67%)+SUM(J68:V68)*(Z68%+AB68%))/(SUM(X8:X14)+SUM(X16:X25)+SUM(X72:X80)+(AG39/AC39%+AG43/AC43%+AG52/AC52%+AG55/AC55%+AG62/AC62%+AG71/AC71%)+AE81+SUM(AE8:AE14)*(1-D2%)+(-AF70))*100</f>
        <v>60.815741292581841</v>
      </c>
      <c r="AA83" s="2" t="s">
        <v>210</v>
      </c>
      <c r="AB83" s="121"/>
      <c r="AC83" s="122"/>
      <c r="AD83" s="120"/>
      <c r="AE83" s="120"/>
      <c r="AF83" s="120"/>
      <c r="AG83" s="120"/>
      <c r="AH83" s="120"/>
      <c r="AI83" s="120"/>
      <c r="AJ83" s="120"/>
      <c r="AK83" s="120"/>
      <c r="AL83" s="120"/>
      <c r="AM83" s="120"/>
      <c r="AN83" s="120"/>
      <c r="AO83" s="120"/>
      <c r="AP83" s="120"/>
      <c r="AQ83" s="120"/>
    </row>
    <row r="84" spans="1:44" ht="15" customHeight="1" thickBot="1" x14ac:dyDescent="0.25">
      <c r="A84" s="189"/>
      <c r="B84" s="190"/>
      <c r="C84" s="190"/>
      <c r="D84" s="190"/>
      <c r="E84" s="190"/>
      <c r="F84" s="190"/>
      <c r="G84" s="190"/>
      <c r="H84" s="190"/>
      <c r="I84" s="190"/>
      <c r="J84" s="190" t="str">
        <f>IF(J83&gt;0,J81/J83*100,"")</f>
        <v/>
      </c>
      <c r="K84" s="190" t="str">
        <f t="shared" ref="K84:W84" si="14">IF(K83&gt;0,K81/K83*100,"")</f>
        <v/>
      </c>
      <c r="L84" s="190" t="str">
        <f t="shared" si="14"/>
        <v/>
      </c>
      <c r="M84" s="190" t="str">
        <f t="shared" si="14"/>
        <v/>
      </c>
      <c r="N84" s="190" t="str">
        <f t="shared" si="14"/>
        <v/>
      </c>
      <c r="O84" s="190">
        <f t="shared" si="14"/>
        <v>0</v>
      </c>
      <c r="P84" s="190">
        <f t="shared" si="14"/>
        <v>13.40646705944798</v>
      </c>
      <c r="Q84" s="190">
        <f t="shared" si="14"/>
        <v>32.715083798882681</v>
      </c>
      <c r="R84" s="190">
        <f t="shared" si="14"/>
        <v>37.505084745762709</v>
      </c>
      <c r="S84" s="190" t="str">
        <f t="shared" si="14"/>
        <v/>
      </c>
      <c r="T84" s="190" t="str">
        <f t="shared" si="14"/>
        <v/>
      </c>
      <c r="U84" s="190" t="str">
        <f t="shared" si="14"/>
        <v/>
      </c>
      <c r="V84" s="190" t="str">
        <f>IF(V83&gt;0,V81/V83*100,"")</f>
        <v/>
      </c>
      <c r="W84" s="190" t="str">
        <f t="shared" si="14"/>
        <v/>
      </c>
      <c r="X84" s="107">
        <f>SUMIF(J83:W83,"&gt;0",J81:W81)/SUM(J83:W83)%</f>
        <v>29.923835541113458</v>
      </c>
      <c r="Y84" s="108" t="s">
        <v>38</v>
      </c>
      <c r="Z84" s="123">
        <f>SUM(J81:V81)/(X81)*100</f>
        <v>42.089616700580237</v>
      </c>
      <c r="AA84" s="26" t="s">
        <v>244</v>
      </c>
      <c r="AB84" s="124"/>
      <c r="AC84" s="125"/>
      <c r="AD84" s="120"/>
      <c r="AE84" s="120"/>
      <c r="AF84" s="120"/>
      <c r="AG84" s="120"/>
      <c r="AH84" s="120"/>
      <c r="AI84" s="120"/>
      <c r="AJ84" s="120"/>
      <c r="AK84" s="120"/>
      <c r="AL84" s="120"/>
      <c r="AM84" s="120"/>
      <c r="AN84" s="120"/>
      <c r="AO84" s="120"/>
      <c r="AP84" s="120"/>
      <c r="AQ84" s="120"/>
    </row>
    <row r="85" spans="1:44" ht="15" customHeight="1" thickBot="1" x14ac:dyDescent="0.25">
      <c r="A85" s="53"/>
      <c r="B85" s="53"/>
      <c r="C85" s="53"/>
      <c r="D85" s="53"/>
      <c r="E85" s="53"/>
      <c r="F85" s="53"/>
      <c r="G85" s="53"/>
      <c r="H85" s="53"/>
      <c r="I85" s="53"/>
      <c r="J85" s="53"/>
      <c r="K85" s="53"/>
      <c r="L85" s="53"/>
      <c r="M85" s="53"/>
      <c r="N85" s="53"/>
      <c r="O85" s="53"/>
      <c r="P85" s="53"/>
      <c r="Q85" s="53"/>
      <c r="R85" s="53"/>
      <c r="S85" s="53"/>
      <c r="T85" s="53"/>
      <c r="U85" s="53"/>
      <c r="V85" s="53"/>
      <c r="W85" s="53"/>
      <c r="X85" s="53"/>
      <c r="Y85" s="3"/>
      <c r="Z85" s="3"/>
      <c r="AA85" s="3"/>
      <c r="AB85" s="3"/>
      <c r="AC85" s="53"/>
      <c r="AD85" s="53"/>
      <c r="AE85" s="53"/>
      <c r="AF85" s="53"/>
      <c r="AG85" s="53"/>
      <c r="AH85" s="394"/>
      <c r="AI85" s="53"/>
      <c r="AJ85" s="53"/>
      <c r="AK85" s="53"/>
      <c r="AL85" s="53"/>
      <c r="AM85" s="53"/>
      <c r="AN85" s="53"/>
      <c r="AO85" s="53"/>
      <c r="AP85" s="53"/>
      <c r="AQ85" s="53"/>
    </row>
    <row r="86" spans="1:44" s="4" customFormat="1" ht="17.25" customHeight="1" x14ac:dyDescent="0.2">
      <c r="A86" s="126" t="s">
        <v>122</v>
      </c>
      <c r="B86" s="399" t="str">
        <f t="shared" ref="B86:W86" si="15">B7</f>
        <v xml:space="preserve">  LPG og petroleum</v>
      </c>
      <c r="C86" s="399" t="str">
        <f t="shared" si="15"/>
        <v xml:space="preserve">  Kul</v>
      </c>
      <c r="D86" s="399" t="str">
        <f t="shared" si="15"/>
        <v xml:space="preserve">  Fuelolie</v>
      </c>
      <c r="E86" s="399" t="str">
        <f t="shared" si="15"/>
        <v xml:space="preserve">  Brændselsolie</v>
      </c>
      <c r="F86" s="399" t="str">
        <f t="shared" si="15"/>
        <v xml:space="preserve">  Dieselolie</v>
      </c>
      <c r="G86" s="399" t="str">
        <f t="shared" si="15"/>
        <v xml:space="preserve">  JP1</v>
      </c>
      <c r="H86" s="399" t="str">
        <f t="shared" si="15"/>
        <v xml:space="preserve">  Benzin</v>
      </c>
      <c r="I86" s="399" t="str">
        <f t="shared" si="15"/>
        <v xml:space="preserve">  Naturgas</v>
      </c>
      <c r="J86" s="399" t="str">
        <f t="shared" si="15"/>
        <v xml:space="preserve">  Vindenergi</v>
      </c>
      <c r="K86" s="399" t="str">
        <f t="shared" si="15"/>
        <v xml:space="preserve">  Vandenergi</v>
      </c>
      <c r="L86" s="399" t="str">
        <f t="shared" si="15"/>
        <v xml:space="preserve">  Solenergi</v>
      </c>
      <c r="M86" s="399" t="str">
        <f t="shared" si="15"/>
        <v xml:space="preserve">  Geotermi</v>
      </c>
      <c r="N86" s="399" t="str">
        <f t="shared" si="15"/>
        <v xml:space="preserve">  Varmekilder til varmepumper</v>
      </c>
      <c r="O86" s="399" t="str">
        <f t="shared" si="15"/>
        <v xml:space="preserve">  Husdyrsgødning</v>
      </c>
      <c r="P86" s="399" t="str">
        <f t="shared" si="15"/>
        <v xml:space="preserve">  Biobrændstof og energiafgrøder</v>
      </c>
      <c r="Q86" s="399" t="str">
        <f t="shared" si="15"/>
        <v xml:space="preserve">  Halm</v>
      </c>
      <c r="R86" s="399" t="str">
        <f t="shared" si="15"/>
        <v xml:space="preserve">  Brænde og træflis</v>
      </c>
      <c r="S86" s="399" t="str">
        <f t="shared" si="15"/>
        <v xml:space="preserve">  Træpiller og træaffald</v>
      </c>
      <c r="T86" s="399" t="str">
        <f t="shared" si="15"/>
        <v xml:space="preserve">  Organisk affald, industri</v>
      </c>
      <c r="U86" s="399" t="str">
        <f t="shared" si="15"/>
        <v xml:space="preserve">  Organisk affald, husholdninger</v>
      </c>
      <c r="V86" s="399" t="str">
        <f t="shared" si="15"/>
        <v xml:space="preserve">  Deponi, slam, renseanlæg</v>
      </c>
      <c r="W86" s="405" t="str">
        <f t="shared" si="15"/>
        <v xml:space="preserve">  Affald, ikke bionedbrydeligt</v>
      </c>
      <c r="X86" s="3"/>
      <c r="Y86" s="3"/>
      <c r="Z86" s="3"/>
      <c r="AA86" s="3"/>
      <c r="AB86" s="3"/>
      <c r="AC86" s="3"/>
      <c r="AD86" s="3"/>
      <c r="AE86" s="3"/>
      <c r="AF86" s="3"/>
      <c r="AG86" s="3"/>
      <c r="AH86" s="3"/>
      <c r="AI86" s="3"/>
      <c r="AJ86" s="3"/>
      <c r="AK86" s="3"/>
      <c r="AL86" s="3"/>
      <c r="AM86" s="3"/>
      <c r="AN86" s="3"/>
      <c r="AO86" s="3"/>
      <c r="AP86" s="3"/>
      <c r="AQ86" s="3"/>
    </row>
    <row r="87" spans="1:44" s="4" customFormat="1" ht="21" x14ac:dyDescent="0.2">
      <c r="A87" s="220">
        <v>100</v>
      </c>
      <c r="B87" s="400"/>
      <c r="C87" s="400"/>
      <c r="D87" s="400"/>
      <c r="E87" s="400"/>
      <c r="F87" s="400"/>
      <c r="G87" s="400"/>
      <c r="H87" s="400"/>
      <c r="I87" s="400"/>
      <c r="J87" s="400"/>
      <c r="K87" s="400"/>
      <c r="L87" s="400"/>
      <c r="M87" s="400"/>
      <c r="N87" s="400"/>
      <c r="O87" s="400"/>
      <c r="P87" s="400"/>
      <c r="Q87" s="400"/>
      <c r="R87" s="400"/>
      <c r="S87" s="400"/>
      <c r="T87" s="400"/>
      <c r="U87" s="400"/>
      <c r="V87" s="400"/>
      <c r="W87" s="406"/>
      <c r="X87" s="3"/>
      <c r="Y87" s="3"/>
      <c r="Z87" s="3"/>
      <c r="AA87" s="3"/>
      <c r="AB87" s="3"/>
      <c r="AC87" s="3"/>
      <c r="AD87" s="3"/>
      <c r="AE87" s="3"/>
      <c r="AF87" s="3"/>
      <c r="AG87" s="3"/>
      <c r="AH87" s="3"/>
      <c r="AI87" s="3"/>
      <c r="AJ87" s="3"/>
      <c r="AK87" s="3"/>
      <c r="AL87" s="3"/>
      <c r="AM87" s="3"/>
      <c r="AN87" s="3"/>
      <c r="AO87" s="3"/>
      <c r="AP87" s="3"/>
      <c r="AQ87" s="3"/>
    </row>
    <row r="88" spans="1:44" s="4" customFormat="1" ht="123" customHeight="1" thickBot="1" x14ac:dyDescent="0.25">
      <c r="A88" s="128" t="s">
        <v>123</v>
      </c>
      <c r="B88" s="401"/>
      <c r="C88" s="401"/>
      <c r="D88" s="401"/>
      <c r="E88" s="401"/>
      <c r="F88" s="401"/>
      <c r="G88" s="401"/>
      <c r="H88" s="401"/>
      <c r="I88" s="401"/>
      <c r="J88" s="401"/>
      <c r="K88" s="401"/>
      <c r="L88" s="401"/>
      <c r="M88" s="401"/>
      <c r="N88" s="401"/>
      <c r="O88" s="401"/>
      <c r="P88" s="401"/>
      <c r="Q88" s="401"/>
      <c r="R88" s="401"/>
      <c r="S88" s="401"/>
      <c r="T88" s="401"/>
      <c r="U88" s="401"/>
      <c r="V88" s="401"/>
      <c r="W88" s="407"/>
      <c r="X88" s="3"/>
      <c r="Y88" s="3"/>
      <c r="Z88" s="3"/>
      <c r="AA88" s="3"/>
      <c r="AB88" s="3"/>
      <c r="AC88" s="3"/>
      <c r="AD88" s="3"/>
      <c r="AE88" s="3"/>
      <c r="AF88" s="3"/>
      <c r="AG88" s="3"/>
      <c r="AH88" s="3"/>
      <c r="AI88" s="3"/>
      <c r="AJ88" s="3"/>
      <c r="AK88" s="3"/>
      <c r="AL88" s="3"/>
      <c r="AM88" s="3"/>
      <c r="AN88" s="3"/>
      <c r="AO88" s="3"/>
      <c r="AP88" s="3"/>
      <c r="AQ88" s="3"/>
    </row>
    <row r="89" spans="1:44" ht="15" customHeight="1" thickBot="1" x14ac:dyDescent="0.35">
      <c r="A89" s="221">
        <v>0</v>
      </c>
      <c r="B89" s="47">
        <v>63.1</v>
      </c>
      <c r="C89" s="47">
        <v>94.37</v>
      </c>
      <c r="D89" s="47">
        <v>78.88</v>
      </c>
      <c r="E89" s="47">
        <v>74</v>
      </c>
      <c r="F89" s="47">
        <v>74</v>
      </c>
      <c r="G89" s="47">
        <v>72</v>
      </c>
      <c r="H89" s="47">
        <v>73</v>
      </c>
      <c r="I89" s="47">
        <v>56.89</v>
      </c>
      <c r="J89" s="47"/>
      <c r="K89" s="47"/>
      <c r="L89" s="47"/>
      <c r="M89" s="47"/>
      <c r="N89" s="48"/>
      <c r="O89" s="47"/>
      <c r="P89" s="47"/>
      <c r="Q89" s="47"/>
      <c r="R89" s="47"/>
      <c r="S89" s="47"/>
      <c r="T89" s="47"/>
      <c r="U89" s="47"/>
      <c r="V89" s="48"/>
      <c r="W89" s="48">
        <v>82.22</v>
      </c>
      <c r="X89" s="130" t="s">
        <v>245</v>
      </c>
      <c r="Y89" s="131"/>
      <c r="Z89" s="53"/>
      <c r="AA89" s="53"/>
      <c r="AB89" s="53"/>
      <c r="AC89" s="53"/>
      <c r="AD89" s="53"/>
      <c r="AE89" s="53"/>
      <c r="AF89" s="53"/>
      <c r="AG89" s="53"/>
      <c r="AH89" s="53"/>
      <c r="AI89" s="53"/>
      <c r="AJ89" s="53"/>
      <c r="AK89" s="53"/>
      <c r="AL89" s="53"/>
      <c r="AM89" s="53"/>
      <c r="AN89" s="53"/>
      <c r="AO89" s="53"/>
      <c r="AP89" s="53"/>
      <c r="AQ89" s="53"/>
    </row>
    <row r="90" spans="1:44" x14ac:dyDescent="0.2">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row>
    <row r="91" spans="1:44" x14ac:dyDescent="0.2">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row>
    <row r="92" spans="1:44" ht="27.75" x14ac:dyDescent="0.4">
      <c r="A92" s="314" t="s">
        <v>278</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row>
    <row r="93" spans="1:44" x14ac:dyDescent="0.2">
      <c r="A93" s="62"/>
      <c r="B93" s="62"/>
      <c r="C93" s="62"/>
      <c r="D93" s="62"/>
      <c r="E93" s="62"/>
      <c r="F93" s="62"/>
      <c r="G93" s="62"/>
      <c r="H93" s="62"/>
      <c r="I93" s="62"/>
      <c r="J93" s="62"/>
      <c r="K93" s="62"/>
      <c r="L93" s="62"/>
      <c r="M93" s="62"/>
      <c r="N93" s="62"/>
      <c r="O93" s="62"/>
      <c r="P93" s="62"/>
      <c r="Q93" s="62"/>
      <c r="X93" s="62"/>
      <c r="Y93" s="62"/>
      <c r="Z93" s="62"/>
      <c r="AA93" s="62"/>
      <c r="AB93" s="62"/>
      <c r="AC93" s="62"/>
      <c r="AD93" s="62"/>
      <c r="AE93" s="62"/>
      <c r="AF93" s="62"/>
      <c r="AG93" s="62"/>
      <c r="AH93" s="62"/>
      <c r="AI93" s="62"/>
      <c r="AJ93" s="62"/>
      <c r="AK93" s="62"/>
      <c r="AL93" s="62"/>
      <c r="AM93" s="62"/>
      <c r="AN93" s="62"/>
      <c r="AO93" s="62"/>
      <c r="AP93" s="62"/>
      <c r="AQ93" s="62"/>
      <c r="AR93" s="62"/>
    </row>
    <row r="94" spans="1:44" ht="15.75" x14ac:dyDescent="0.25">
      <c r="A94" s="313" t="s">
        <v>279</v>
      </c>
      <c r="B94" s="62"/>
      <c r="C94" s="62"/>
      <c r="D94" s="62"/>
      <c r="E94" s="62"/>
      <c r="F94" s="62"/>
      <c r="G94" s="62"/>
      <c r="H94" s="62"/>
      <c r="I94" s="62"/>
      <c r="J94" s="313" t="s">
        <v>302</v>
      </c>
      <c r="K94" s="62"/>
      <c r="L94" s="62"/>
      <c r="M94" s="62"/>
      <c r="N94" s="62"/>
      <c r="O94" s="62"/>
      <c r="P94" s="62"/>
      <c r="Q94" s="62"/>
      <c r="X94" s="62"/>
      <c r="Y94" s="62"/>
      <c r="AK94" s="62"/>
      <c r="AL94" s="62"/>
      <c r="AM94" s="62"/>
      <c r="AN94" s="62"/>
      <c r="AO94" s="62"/>
      <c r="AP94" s="62"/>
      <c r="AQ94" s="62"/>
      <c r="AR94" s="62"/>
    </row>
    <row r="95" spans="1:44" x14ac:dyDescent="0.2">
      <c r="A95" s="311" t="s">
        <v>275</v>
      </c>
      <c r="B95" s="305"/>
      <c r="C95" s="305"/>
      <c r="D95" s="42"/>
      <c r="E95" s="311"/>
      <c r="F95" s="232" t="s">
        <v>276</v>
      </c>
      <c r="G95" s="317" t="s">
        <v>280</v>
      </c>
      <c r="J95" s="319" t="s">
        <v>283</v>
      </c>
      <c r="K95" s="305"/>
      <c r="L95" s="305"/>
      <c r="M95" s="305"/>
      <c r="N95" s="305"/>
      <c r="O95" s="306"/>
      <c r="Y95" s="62"/>
    </row>
    <row r="96" spans="1:44" x14ac:dyDescent="0.2">
      <c r="A96" s="311">
        <v>2018</v>
      </c>
      <c r="B96" s="305"/>
      <c r="C96" s="305"/>
      <c r="D96" s="42"/>
      <c r="E96" s="393">
        <f>'2018'!I45+'2018'!I47+'2018'!I53+'2018'!I56</f>
        <v>0</v>
      </c>
      <c r="F96" s="232"/>
      <c r="G96" s="315"/>
      <c r="J96" s="325" t="s">
        <v>284</v>
      </c>
      <c r="K96" s="309"/>
      <c r="L96" s="309"/>
      <c r="M96" s="309"/>
      <c r="N96" s="310"/>
      <c r="O96" s="340">
        <v>-0.04</v>
      </c>
      <c r="P96" s="132"/>
      <c r="Y96" s="53"/>
    </row>
    <row r="97" spans="1:25" ht="12.75" customHeight="1" x14ac:dyDescent="0.2">
      <c r="A97" s="311">
        <v>2030</v>
      </c>
      <c r="B97" s="305"/>
      <c r="C97" s="305"/>
      <c r="D97" s="42"/>
      <c r="E97" s="311">
        <f>E96*0.5</f>
        <v>0</v>
      </c>
      <c r="F97" s="232"/>
      <c r="G97" s="315"/>
      <c r="J97" s="323" t="s">
        <v>285</v>
      </c>
      <c r="K97" s="307"/>
      <c r="L97" s="307"/>
      <c r="M97" s="324"/>
      <c r="N97" s="308"/>
      <c r="O97" s="332">
        <v>-0.20899999999999999</v>
      </c>
      <c r="P97" s="132"/>
      <c r="Y97" s="62"/>
    </row>
    <row r="98" spans="1:25" x14ac:dyDescent="0.2">
      <c r="A98" s="86" t="s">
        <v>270</v>
      </c>
      <c r="D98" s="120">
        <f>(AB45+AB47)/2</f>
        <v>0</v>
      </c>
      <c r="F98" s="254">
        <f>(E96-E97)*D98%</f>
        <v>0</v>
      </c>
      <c r="G98" s="315">
        <f>F98*(1+G$95)</f>
        <v>0</v>
      </c>
      <c r="J98" s="319" t="s">
        <v>289</v>
      </c>
      <c r="K98" s="305"/>
      <c r="L98" s="305"/>
      <c r="M98" s="321"/>
      <c r="N98" s="305"/>
      <c r="O98" s="328"/>
    </row>
    <row r="99" spans="1:25" x14ac:dyDescent="0.2">
      <c r="A99" s="312" t="s">
        <v>268</v>
      </c>
      <c r="B99" s="305"/>
      <c r="C99" s="305"/>
      <c r="D99" s="42"/>
      <c r="E99" s="311"/>
      <c r="F99" s="254">
        <f>70%*F98</f>
        <v>0</v>
      </c>
      <c r="G99" s="316">
        <f t="shared" ref="G99:G100" si="16">F99*(1+G$95)</f>
        <v>0</v>
      </c>
      <c r="H99" s="133"/>
      <c r="I99" s="134"/>
      <c r="J99" s="325" t="s">
        <v>286</v>
      </c>
      <c r="K99" s="309"/>
      <c r="L99" s="309"/>
      <c r="M99" s="326"/>
      <c r="N99" s="310"/>
      <c r="O99" s="327">
        <v>-2.58E-2</v>
      </c>
      <c r="T99" s="133"/>
      <c r="W99" s="133"/>
    </row>
    <row r="100" spans="1:25" x14ac:dyDescent="0.2">
      <c r="A100" s="312" t="s">
        <v>269</v>
      </c>
      <c r="B100" s="305"/>
      <c r="C100" s="305"/>
      <c r="D100" s="42"/>
      <c r="E100" s="311"/>
      <c r="F100" s="254">
        <f>30%*F98</f>
        <v>0</v>
      </c>
      <c r="G100" s="316">
        <f t="shared" si="16"/>
        <v>0</v>
      </c>
      <c r="J100" s="319" t="s">
        <v>287</v>
      </c>
      <c r="K100" s="305"/>
      <c r="L100" s="305"/>
      <c r="M100" s="320"/>
      <c r="N100" s="306"/>
      <c r="O100" s="322">
        <v>-3.8699999999999998E-2</v>
      </c>
    </row>
    <row r="101" spans="1:25" x14ac:dyDescent="0.2">
      <c r="F101" s="86"/>
      <c r="G101" s="241"/>
      <c r="J101" s="319" t="s">
        <v>288</v>
      </c>
      <c r="K101" s="305"/>
      <c r="L101" s="305"/>
      <c r="M101" s="320"/>
      <c r="N101" s="306"/>
      <c r="O101" s="322">
        <v>-0.14460000000000001</v>
      </c>
    </row>
    <row r="102" spans="1:25" x14ac:dyDescent="0.2">
      <c r="A102" s="311" t="s">
        <v>266</v>
      </c>
      <c r="B102" s="305"/>
      <c r="C102" s="305"/>
      <c r="D102" s="42"/>
      <c r="E102" s="311"/>
      <c r="F102" s="254" t="s">
        <v>277</v>
      </c>
      <c r="G102" s="317" t="str">
        <f>G95</f>
        <v>-4%</v>
      </c>
      <c r="J102" s="319" t="s">
        <v>290</v>
      </c>
      <c r="K102" s="305"/>
      <c r="L102" s="305"/>
      <c r="M102" s="320"/>
      <c r="N102" s="306"/>
      <c r="O102" s="322">
        <v>-1.2200000000000001E-2</v>
      </c>
    </row>
    <row r="103" spans="1:25" x14ac:dyDescent="0.2">
      <c r="A103" s="311">
        <v>2018</v>
      </c>
      <c r="B103" s="305"/>
      <c r="C103" s="305"/>
      <c r="D103" s="42"/>
      <c r="E103" s="393">
        <f>'2018'!E17</f>
        <v>24.75</v>
      </c>
      <c r="F103" s="254"/>
      <c r="G103" s="315"/>
      <c r="J103" s="319" t="s">
        <v>292</v>
      </c>
      <c r="K103" s="305"/>
      <c r="L103" s="305"/>
      <c r="M103" s="320"/>
      <c r="N103" s="306"/>
      <c r="O103" s="322">
        <v>0.16669999999999999</v>
      </c>
    </row>
    <row r="104" spans="1:25" x14ac:dyDescent="0.2">
      <c r="A104" s="311">
        <v>2030</v>
      </c>
      <c r="B104" s="305"/>
      <c r="C104" s="305"/>
      <c r="D104" s="42"/>
      <c r="E104" s="311">
        <f>E103*0.3</f>
        <v>7.4249999999999998</v>
      </c>
      <c r="F104" s="254"/>
      <c r="G104" s="315"/>
      <c r="J104" s="86" t="s">
        <v>301</v>
      </c>
    </row>
    <row r="105" spans="1:25" x14ac:dyDescent="0.2">
      <c r="A105" s="86" t="s">
        <v>104</v>
      </c>
      <c r="D105" s="120">
        <f>AB17</f>
        <v>80</v>
      </c>
      <c r="F105" s="254">
        <f>(E103-E104)*D105%</f>
        <v>13.86</v>
      </c>
      <c r="G105" s="315">
        <f>F105*(1+G$95)</f>
        <v>13.305599999999998</v>
      </c>
    </row>
    <row r="106" spans="1:25" x14ac:dyDescent="0.2">
      <c r="A106" s="311" t="s">
        <v>261</v>
      </c>
      <c r="B106" s="305"/>
      <c r="C106" s="305"/>
      <c r="D106" s="42"/>
      <c r="E106" s="311"/>
      <c r="F106" s="254">
        <f>F105*75%</f>
        <v>10.395</v>
      </c>
      <c r="G106" s="316">
        <f t="shared" ref="G106:G107" si="17">F106*(1+G$95)</f>
        <v>9.9791999999999987</v>
      </c>
      <c r="J106" s="319" t="s">
        <v>306</v>
      </c>
      <c r="K106" s="305"/>
      <c r="L106" s="305"/>
      <c r="M106" s="305"/>
      <c r="N106" s="306"/>
      <c r="O106" s="329"/>
    </row>
    <row r="107" spans="1:25" x14ac:dyDescent="0.2">
      <c r="A107" s="312" t="s">
        <v>262</v>
      </c>
      <c r="B107" s="305"/>
      <c r="C107" s="305"/>
      <c r="D107" s="42"/>
      <c r="E107" s="311"/>
      <c r="F107" s="254">
        <f>F105*25%</f>
        <v>3.4649999999999999</v>
      </c>
      <c r="G107" s="316">
        <f t="shared" si="17"/>
        <v>3.3263999999999996</v>
      </c>
      <c r="J107" s="319" t="s">
        <v>137</v>
      </c>
      <c r="K107" s="305"/>
      <c r="L107" s="305"/>
      <c r="M107" s="305"/>
      <c r="N107" s="338"/>
      <c r="O107" s="339">
        <v>5.7500000000000002E-2</v>
      </c>
    </row>
    <row r="108" spans="1:25" x14ac:dyDescent="0.2">
      <c r="F108" s="86"/>
      <c r="G108" s="241"/>
      <c r="J108" s="319" t="s">
        <v>307</v>
      </c>
      <c r="K108" s="305"/>
      <c r="L108" s="305"/>
      <c r="M108" s="305"/>
      <c r="N108" s="306"/>
      <c r="O108" s="339">
        <v>6.0999999999999999E-2</v>
      </c>
    </row>
    <row r="109" spans="1:25" x14ac:dyDescent="0.2">
      <c r="A109" s="311" t="s">
        <v>267</v>
      </c>
      <c r="B109" s="305"/>
      <c r="C109" s="305"/>
      <c r="D109" s="42"/>
      <c r="E109" s="311"/>
      <c r="F109" s="254" t="s">
        <v>277</v>
      </c>
      <c r="G109" s="317" t="str">
        <f>G102</f>
        <v>-4%</v>
      </c>
    </row>
    <row r="110" spans="1:25" x14ac:dyDescent="0.2">
      <c r="A110" s="311">
        <v>2018</v>
      </c>
      <c r="B110" s="305"/>
      <c r="C110" s="305"/>
      <c r="D110" s="42"/>
      <c r="E110" s="311">
        <f>'2018'!I18</f>
        <v>0</v>
      </c>
      <c r="F110" s="254"/>
      <c r="G110" s="315"/>
      <c r="J110" s="224" t="s">
        <v>300</v>
      </c>
    </row>
    <row r="111" spans="1:25" x14ac:dyDescent="0.2">
      <c r="A111" s="311">
        <v>2030</v>
      </c>
      <c r="B111" s="305"/>
      <c r="C111" s="305"/>
      <c r="D111" s="42"/>
      <c r="E111" s="311">
        <f>E110*0.8</f>
        <v>0</v>
      </c>
      <c r="F111" s="254"/>
      <c r="G111" s="315"/>
      <c r="J111" s="319" t="s">
        <v>293</v>
      </c>
      <c r="K111" s="305"/>
      <c r="L111" s="305"/>
      <c r="M111" s="305"/>
      <c r="N111" s="306"/>
      <c r="O111" s="329">
        <v>775000</v>
      </c>
    </row>
    <row r="112" spans="1:25" x14ac:dyDescent="0.2">
      <c r="A112" s="86" t="s">
        <v>104</v>
      </c>
      <c r="D112" s="120">
        <f>AB18</f>
        <v>85</v>
      </c>
      <c r="E112" s="120"/>
      <c r="F112" s="254">
        <f>(E110-E111)*D112%</f>
        <v>0</v>
      </c>
      <c r="G112" s="315">
        <f>F112*(1+G$95)</f>
        <v>0</v>
      </c>
      <c r="J112" s="319" t="s">
        <v>294</v>
      </c>
      <c r="K112" s="305"/>
      <c r="L112" s="305"/>
      <c r="M112" s="305"/>
      <c r="N112" s="338" t="s">
        <v>295</v>
      </c>
      <c r="O112" s="329">
        <v>11.2</v>
      </c>
    </row>
    <row r="113" spans="1:15" x14ac:dyDescent="0.2">
      <c r="A113" s="311" t="s">
        <v>261</v>
      </c>
      <c r="B113" s="305"/>
      <c r="C113" s="305"/>
      <c r="D113" s="42"/>
      <c r="E113" s="311"/>
      <c r="F113" s="254">
        <f>F112*75%</f>
        <v>0</v>
      </c>
      <c r="G113" s="316">
        <f t="shared" ref="G113:G114" si="18">F113*(1+G$95)</f>
        <v>0</v>
      </c>
      <c r="J113" s="319" t="s">
        <v>296</v>
      </c>
      <c r="K113" s="305"/>
      <c r="L113" s="305"/>
      <c r="M113" s="305"/>
      <c r="N113" s="306" t="s">
        <v>305</v>
      </c>
      <c r="O113" s="329">
        <v>2530047</v>
      </c>
    </row>
    <row r="114" spans="1:15" x14ac:dyDescent="0.2">
      <c r="A114" s="312" t="s">
        <v>262</v>
      </c>
      <c r="B114" s="305"/>
      <c r="C114" s="305"/>
      <c r="D114" s="42"/>
      <c r="E114" s="311"/>
      <c r="F114" s="254">
        <f>F112*25%</f>
        <v>0</v>
      </c>
      <c r="G114" s="316">
        <f t="shared" si="18"/>
        <v>0</v>
      </c>
      <c r="J114" s="319" t="s">
        <v>297</v>
      </c>
      <c r="K114" s="305"/>
      <c r="L114" s="305"/>
      <c r="M114" s="305"/>
      <c r="N114" s="306" t="s">
        <v>305</v>
      </c>
      <c r="O114" s="331">
        <v>785</v>
      </c>
    </row>
    <row r="115" spans="1:15" x14ac:dyDescent="0.2">
      <c r="F115" s="86"/>
      <c r="J115" s="319" t="s">
        <v>298</v>
      </c>
      <c r="K115" s="305"/>
      <c r="L115" s="305"/>
      <c r="M115" s="305"/>
      <c r="N115" s="306" t="s">
        <v>305</v>
      </c>
      <c r="O115" s="329">
        <f>MROUND(O114/$O$113*O111,1)</f>
        <v>240</v>
      </c>
    </row>
    <row r="116" spans="1:15" x14ac:dyDescent="0.2">
      <c r="J116" s="319" t="s">
        <v>299</v>
      </c>
      <c r="K116" s="305"/>
      <c r="L116" s="305"/>
      <c r="M116" s="305"/>
      <c r="N116" s="306" t="s">
        <v>202</v>
      </c>
      <c r="O116" s="330">
        <f>O115*O112/1000</f>
        <v>2.6880000000000002</v>
      </c>
    </row>
    <row r="118" spans="1:15" x14ac:dyDescent="0.2">
      <c r="J118" s="224" t="s">
        <v>291</v>
      </c>
    </row>
    <row r="119" spans="1:15" x14ac:dyDescent="0.2">
      <c r="J119" s="319" t="s">
        <v>303</v>
      </c>
      <c r="K119" s="305"/>
      <c r="L119" s="305"/>
      <c r="M119" s="333" t="s">
        <v>202</v>
      </c>
      <c r="N119" s="306"/>
      <c r="O119" s="77">
        <f>'2018'!F78</f>
        <v>0.95</v>
      </c>
    </row>
    <row r="120" spans="1:15" x14ac:dyDescent="0.2">
      <c r="J120" s="319" t="s">
        <v>304</v>
      </c>
      <c r="K120" s="305"/>
      <c r="L120" s="305"/>
      <c r="M120" s="335">
        <v>6.6699999999999995E-2</v>
      </c>
      <c r="N120" s="306" t="s">
        <v>202</v>
      </c>
      <c r="O120" s="77">
        <f>O119*(1+M120)</f>
        <v>1.0133649999999998</v>
      </c>
    </row>
    <row r="121" spans="1:15" x14ac:dyDescent="0.2">
      <c r="J121" s="334" t="s">
        <v>281</v>
      </c>
      <c r="K121" s="305"/>
      <c r="L121" s="305"/>
      <c r="M121" s="336">
        <v>0.28120000000000001</v>
      </c>
      <c r="N121" s="306" t="s">
        <v>202</v>
      </c>
      <c r="O121" s="337">
        <f>M121*$O$120</f>
        <v>0.28495823799999997</v>
      </c>
    </row>
    <row r="122" spans="1:15" x14ac:dyDescent="0.2">
      <c r="J122" s="334" t="s">
        <v>282</v>
      </c>
      <c r="K122" s="305"/>
      <c r="L122" s="305"/>
      <c r="M122" s="336">
        <v>0.71879999999999999</v>
      </c>
      <c r="N122" s="306" t="s">
        <v>202</v>
      </c>
      <c r="O122" s="337">
        <f>M122*$O$120</f>
        <v>0.72840676199999987</v>
      </c>
    </row>
  </sheetData>
  <mergeCells count="30">
    <mergeCell ref="V86:V88"/>
    <mergeCell ref="W86:W88"/>
    <mergeCell ref="Q86:Q88"/>
    <mergeCell ref="R86:R88"/>
    <mergeCell ref="S86:S88"/>
    <mergeCell ref="T86:T88"/>
    <mergeCell ref="U86:U88"/>
    <mergeCell ref="AI6:AQ6"/>
    <mergeCell ref="Y1:Y2"/>
    <mergeCell ref="A6:X6"/>
    <mergeCell ref="Z6:AC6"/>
    <mergeCell ref="AD6:AE6"/>
    <mergeCell ref="X3:Z4"/>
    <mergeCell ref="AF6:AG6"/>
    <mergeCell ref="D1:E1"/>
    <mergeCell ref="B86:B88"/>
    <mergeCell ref="C86:C88"/>
    <mergeCell ref="D86:D88"/>
    <mergeCell ref="E86:E88"/>
    <mergeCell ref="F86:F88"/>
    <mergeCell ref="G86:G88"/>
    <mergeCell ref="H86:H88"/>
    <mergeCell ref="I86:I88"/>
    <mergeCell ref="J86:J88"/>
    <mergeCell ref="K86:K88"/>
    <mergeCell ref="L86:L88"/>
    <mergeCell ref="M86:M88"/>
    <mergeCell ref="N86:N88"/>
    <mergeCell ref="O86:O88"/>
    <mergeCell ref="P86:P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9CC33"/>
    <pageSetUpPr fitToPage="1"/>
  </sheetPr>
  <dimension ref="A1:AV96"/>
  <sheetViews>
    <sheetView showGridLines="0" showZeros="0" topLeftCell="A64" zoomScale="70" zoomScaleNormal="70" workbookViewId="0">
      <selection activeCell="N101" sqref="N101"/>
    </sheetView>
  </sheetViews>
  <sheetFormatPr defaultColWidth="9.140625" defaultRowHeight="12.75" x14ac:dyDescent="0.2"/>
  <cols>
    <col min="1" max="23" width="7.140625" style="4" customWidth="1"/>
    <col min="24" max="24" width="8.7109375" style="4" customWidth="1"/>
    <col min="25" max="25" width="52.140625" style="4" bestFit="1" customWidth="1"/>
    <col min="26" max="29" width="5.7109375" style="4" customWidth="1"/>
    <col min="30" max="34" width="8.7109375" style="4" customWidth="1"/>
    <col min="35" max="43" width="7.140625" style="4" customWidth="1"/>
    <col min="44" max="16384" width="9.140625" style="4"/>
  </cols>
  <sheetData>
    <row r="1" spans="1:48" ht="15" customHeight="1" x14ac:dyDescent="0.2">
      <c r="A1" s="147" t="s">
        <v>48</v>
      </c>
      <c r="B1" s="148"/>
      <c r="C1" s="359"/>
      <c r="D1" s="402">
        <v>1807</v>
      </c>
      <c r="E1" s="403"/>
      <c r="F1" s="3"/>
      <c r="G1" s="3"/>
      <c r="H1" s="3"/>
      <c r="I1" s="3"/>
      <c r="K1" s="3"/>
      <c r="L1" s="3"/>
      <c r="M1" s="3"/>
      <c r="N1" s="3"/>
      <c r="O1" s="3"/>
      <c r="P1" s="3"/>
      <c r="Q1" s="3"/>
      <c r="R1" s="3"/>
      <c r="S1" s="3"/>
      <c r="T1" s="3"/>
      <c r="U1" s="3"/>
      <c r="V1" s="149"/>
      <c r="W1" s="149"/>
      <c r="X1" s="149"/>
      <c r="Y1" s="417" t="s">
        <v>73</v>
      </c>
      <c r="Z1" s="149"/>
      <c r="AA1" s="149"/>
      <c r="AB1" s="149"/>
      <c r="AC1" s="149"/>
      <c r="AD1" s="3"/>
      <c r="AE1" s="3"/>
      <c r="AF1" s="3"/>
      <c r="AG1" s="3"/>
      <c r="AH1" s="3"/>
      <c r="AI1" s="3"/>
      <c r="AJ1" s="3"/>
      <c r="AK1" s="3"/>
      <c r="AL1" s="3"/>
      <c r="AM1" s="3"/>
      <c r="AN1" s="3"/>
      <c r="AO1" s="3"/>
      <c r="AP1" s="3"/>
      <c r="AQ1" s="3"/>
    </row>
    <row r="2" spans="1:48" ht="15" customHeight="1" x14ac:dyDescent="0.25">
      <c r="A2" s="151" t="s">
        <v>50</v>
      </c>
      <c r="B2" s="3"/>
      <c r="D2" s="360">
        <v>91.85</v>
      </c>
      <c r="E2" s="153" t="s">
        <v>49</v>
      </c>
      <c r="F2" s="3"/>
      <c r="G2" s="3"/>
      <c r="H2" s="361"/>
      <c r="I2" s="3"/>
      <c r="J2" s="3"/>
      <c r="K2" s="3"/>
      <c r="L2" s="3"/>
      <c r="M2" s="3"/>
      <c r="N2" s="3"/>
      <c r="O2" s="3"/>
      <c r="P2" s="3"/>
      <c r="Q2" s="3"/>
      <c r="R2" s="3"/>
      <c r="S2" s="3"/>
      <c r="T2" s="3"/>
      <c r="U2" s="3"/>
      <c r="V2" s="149"/>
      <c r="W2" s="149"/>
      <c r="X2" s="149"/>
      <c r="Y2" s="417"/>
      <c r="Z2" s="149"/>
      <c r="AA2" s="149"/>
      <c r="AB2" s="149"/>
      <c r="AC2" s="149"/>
      <c r="AD2" s="3"/>
      <c r="AE2" s="3"/>
      <c r="AF2" s="3"/>
      <c r="AG2" s="3"/>
      <c r="AH2" s="3"/>
      <c r="AI2" s="3"/>
      <c r="AJ2" s="3"/>
      <c r="AK2" s="3"/>
      <c r="AL2" s="3"/>
      <c r="AM2" s="3"/>
      <c r="AN2" s="3"/>
      <c r="AO2" s="3"/>
      <c r="AP2" s="3"/>
      <c r="AQ2" s="3"/>
    </row>
    <row r="3" spans="1:48" ht="15" customHeight="1" thickBot="1" x14ac:dyDescent="0.25">
      <c r="A3" s="154" t="s">
        <v>46</v>
      </c>
      <c r="B3" s="5"/>
      <c r="C3" s="362"/>
      <c r="D3" s="5" t="s">
        <v>47</v>
      </c>
      <c r="E3" s="155"/>
      <c r="F3" s="3"/>
      <c r="G3" s="3"/>
      <c r="H3" s="3"/>
      <c r="I3" s="3"/>
      <c r="J3" s="3"/>
      <c r="K3" s="3"/>
      <c r="L3" s="3"/>
      <c r="M3" s="3"/>
      <c r="N3" s="3"/>
      <c r="O3" s="3"/>
      <c r="P3" s="3"/>
      <c r="Q3" s="3"/>
      <c r="R3" s="3"/>
      <c r="S3" s="3"/>
      <c r="T3" s="3"/>
      <c r="U3" s="3"/>
      <c r="V3" s="149"/>
      <c r="W3" s="149"/>
      <c r="X3" s="418" t="s">
        <v>337</v>
      </c>
      <c r="Y3" s="418"/>
      <c r="Z3" s="418"/>
      <c r="AA3" s="149"/>
      <c r="AB3" s="149"/>
      <c r="AC3" s="149"/>
      <c r="AD3" s="3"/>
      <c r="AE3" s="3"/>
      <c r="AF3" s="3"/>
      <c r="AG3" s="3"/>
      <c r="AH3" s="3"/>
      <c r="AI3" s="3"/>
      <c r="AJ3" s="3"/>
      <c r="AK3" s="3"/>
      <c r="AL3" s="3"/>
      <c r="AM3" s="3"/>
      <c r="AN3" s="3"/>
      <c r="AO3" s="3"/>
      <c r="AP3" s="3"/>
      <c r="AQ3" s="3"/>
    </row>
    <row r="4" spans="1:48" ht="15" customHeight="1" x14ac:dyDescent="0.2">
      <c r="A4" s="3"/>
      <c r="B4" s="3"/>
      <c r="C4" s="3"/>
      <c r="D4" s="3"/>
      <c r="E4" s="3"/>
      <c r="F4" s="3"/>
      <c r="G4" s="3"/>
      <c r="H4" s="3"/>
      <c r="I4" s="3"/>
      <c r="J4" s="3"/>
      <c r="K4" s="3"/>
      <c r="L4" s="3"/>
      <c r="M4" s="3"/>
      <c r="N4" s="3"/>
      <c r="O4" s="3"/>
      <c r="P4" s="3"/>
      <c r="Q4" s="3"/>
      <c r="R4" s="3"/>
      <c r="S4" s="3"/>
      <c r="T4" s="3"/>
      <c r="U4" s="3"/>
      <c r="V4" s="149"/>
      <c r="W4" s="149"/>
      <c r="X4" s="418"/>
      <c r="Y4" s="418"/>
      <c r="Z4" s="418"/>
      <c r="AA4" s="149"/>
      <c r="AB4" s="149"/>
      <c r="AC4" s="149"/>
      <c r="AD4" s="3"/>
      <c r="AE4" s="3"/>
      <c r="AF4" s="3"/>
      <c r="AG4" s="3"/>
      <c r="AH4" s="3"/>
      <c r="AI4" s="3"/>
      <c r="AJ4" s="3"/>
      <c r="AK4" s="3"/>
      <c r="AL4" s="3"/>
      <c r="AM4" s="3"/>
      <c r="AN4" s="3"/>
      <c r="AO4" s="3"/>
      <c r="AP4" s="3"/>
      <c r="AQ4" s="3"/>
    </row>
    <row r="5" spans="1:48" ht="15" customHeight="1" x14ac:dyDescent="0.2">
      <c r="A5" s="3"/>
      <c r="B5" s="3"/>
      <c r="C5" s="3"/>
      <c r="D5" s="3"/>
      <c r="E5" s="3"/>
      <c r="F5" s="3"/>
      <c r="G5" s="3"/>
      <c r="H5" s="3"/>
      <c r="I5" s="3"/>
      <c r="J5" s="3"/>
      <c r="K5" s="3"/>
      <c r="L5" s="3"/>
      <c r="M5" s="3"/>
      <c r="N5" s="3"/>
      <c r="O5" s="3"/>
      <c r="P5" s="3"/>
      <c r="Q5" s="3"/>
      <c r="R5" s="3"/>
      <c r="S5" s="3"/>
      <c r="T5" s="3"/>
      <c r="U5" s="3"/>
      <c r="V5" s="3"/>
      <c r="W5" s="3"/>
      <c r="X5" s="3"/>
      <c r="Z5" s="3"/>
      <c r="AA5" s="3"/>
      <c r="AB5" s="3"/>
      <c r="AC5" s="3"/>
      <c r="AD5" s="3"/>
      <c r="AE5" s="3"/>
      <c r="AF5" s="3"/>
      <c r="AG5" s="3"/>
      <c r="AH5" s="3"/>
      <c r="AI5" s="3"/>
      <c r="AJ5" s="3"/>
      <c r="AK5" s="3"/>
      <c r="AL5" s="3"/>
      <c r="AM5" s="3"/>
      <c r="AN5" s="3"/>
      <c r="AO5" s="3"/>
      <c r="AP5" s="3"/>
      <c r="AQ5" s="3"/>
    </row>
    <row r="6" spans="1:48" ht="15" customHeight="1" x14ac:dyDescent="0.25">
      <c r="A6" s="416" t="s">
        <v>0</v>
      </c>
      <c r="B6" s="416"/>
      <c r="C6" s="416"/>
      <c r="D6" s="416"/>
      <c r="E6" s="416"/>
      <c r="F6" s="416"/>
      <c r="G6" s="416"/>
      <c r="H6" s="416"/>
      <c r="I6" s="416"/>
      <c r="J6" s="416"/>
      <c r="K6" s="416"/>
      <c r="L6" s="416"/>
      <c r="M6" s="416"/>
      <c r="N6" s="416"/>
      <c r="O6" s="416"/>
      <c r="P6" s="416"/>
      <c r="Q6" s="416"/>
      <c r="R6" s="416"/>
      <c r="S6" s="416"/>
      <c r="T6" s="416"/>
      <c r="U6" s="416"/>
      <c r="V6" s="416"/>
      <c r="W6" s="416"/>
      <c r="X6" s="416"/>
      <c r="Y6" s="396" t="s">
        <v>51</v>
      </c>
      <c r="Z6" s="416" t="s">
        <v>104</v>
      </c>
      <c r="AA6" s="416"/>
      <c r="AB6" s="416"/>
      <c r="AC6" s="416"/>
      <c r="AD6" s="416" t="s">
        <v>53</v>
      </c>
      <c r="AE6" s="416"/>
      <c r="AF6" s="416" t="s">
        <v>52</v>
      </c>
      <c r="AG6" s="416"/>
      <c r="AH6" s="157"/>
      <c r="AI6" s="416" t="s">
        <v>1</v>
      </c>
      <c r="AJ6" s="416"/>
      <c r="AK6" s="416"/>
      <c r="AL6" s="416"/>
      <c r="AM6" s="416"/>
      <c r="AN6" s="416"/>
      <c r="AO6" s="416"/>
      <c r="AP6" s="416"/>
      <c r="AQ6" s="416"/>
    </row>
    <row r="7" spans="1:48" s="167" customFormat="1" ht="159.94999999999999" customHeight="1" thickBot="1" x14ac:dyDescent="0.65">
      <c r="A7" s="158" t="s">
        <v>74</v>
      </c>
      <c r="B7" s="159" t="s">
        <v>75</v>
      </c>
      <c r="C7" s="159" t="s">
        <v>76</v>
      </c>
      <c r="D7" s="159" t="s">
        <v>77</v>
      </c>
      <c r="E7" s="159" t="s">
        <v>78</v>
      </c>
      <c r="F7" s="159" t="s">
        <v>79</v>
      </c>
      <c r="G7" s="159" t="s">
        <v>80</v>
      </c>
      <c r="H7" s="159" t="s">
        <v>81</v>
      </c>
      <c r="I7" s="159" t="s">
        <v>82</v>
      </c>
      <c r="J7" s="159" t="s">
        <v>83</v>
      </c>
      <c r="K7" s="159" t="s">
        <v>84</v>
      </c>
      <c r="L7" s="159" t="s">
        <v>85</v>
      </c>
      <c r="M7" s="159" t="s">
        <v>86</v>
      </c>
      <c r="N7" s="159" t="s">
        <v>87</v>
      </c>
      <c r="O7" s="159" t="s">
        <v>88</v>
      </c>
      <c r="P7" s="159" t="s">
        <v>89</v>
      </c>
      <c r="Q7" s="159" t="s">
        <v>90</v>
      </c>
      <c r="R7" s="159" t="s">
        <v>91</v>
      </c>
      <c r="S7" s="159" t="s">
        <v>92</v>
      </c>
      <c r="T7" s="159" t="s">
        <v>93</v>
      </c>
      <c r="U7" s="159" t="s">
        <v>94</v>
      </c>
      <c r="V7" s="159" t="s">
        <v>95</v>
      </c>
      <c r="W7" s="159" t="s">
        <v>96</v>
      </c>
      <c r="X7" s="160" t="s">
        <v>97</v>
      </c>
      <c r="Y7" s="161"/>
      <c r="Z7" s="162" t="s">
        <v>98</v>
      </c>
      <c r="AA7" s="159" t="s">
        <v>99</v>
      </c>
      <c r="AB7" s="159" t="s">
        <v>100</v>
      </c>
      <c r="AC7" s="160" t="s">
        <v>101</v>
      </c>
      <c r="AD7" s="158" t="s">
        <v>102</v>
      </c>
      <c r="AE7" s="160" t="s">
        <v>103</v>
      </c>
      <c r="AF7" s="158" t="s">
        <v>102</v>
      </c>
      <c r="AG7" s="160" t="s">
        <v>103</v>
      </c>
      <c r="AH7" s="164" t="s">
        <v>105</v>
      </c>
      <c r="AI7" s="165" t="s">
        <v>106</v>
      </c>
      <c r="AJ7" s="159" t="s">
        <v>107</v>
      </c>
      <c r="AK7" s="159" t="s">
        <v>108</v>
      </c>
      <c r="AL7" s="159" t="s">
        <v>109</v>
      </c>
      <c r="AM7" s="159" t="s">
        <v>110</v>
      </c>
      <c r="AN7" s="159" t="s">
        <v>111</v>
      </c>
      <c r="AO7" s="166" t="s">
        <v>112</v>
      </c>
      <c r="AP7" s="166" t="s">
        <v>113</v>
      </c>
      <c r="AQ7" s="160" t="s">
        <v>114</v>
      </c>
    </row>
    <row r="8" spans="1:48" ht="15" customHeight="1" x14ac:dyDescent="0.2">
      <c r="A8" s="31"/>
      <c r="B8" s="32"/>
      <c r="C8" s="32"/>
      <c r="D8" s="32"/>
      <c r="E8" s="32"/>
      <c r="F8" s="32"/>
      <c r="G8" s="32"/>
      <c r="H8" s="32"/>
      <c r="I8" s="32"/>
      <c r="J8" s="32"/>
      <c r="K8" s="32"/>
      <c r="L8" s="32"/>
      <c r="M8" s="32"/>
      <c r="N8" s="32"/>
      <c r="O8" s="32"/>
      <c r="P8" s="32"/>
      <c r="Q8" s="32"/>
      <c r="R8" s="32"/>
      <c r="S8" s="32"/>
      <c r="T8" s="32"/>
      <c r="U8" s="32"/>
      <c r="V8" s="32"/>
      <c r="W8" s="32"/>
      <c r="X8" s="33">
        <f t="shared" ref="X8:X48" si="0">SUM(A8:W8)</f>
        <v>0</v>
      </c>
      <c r="Y8" s="34" t="s">
        <v>3</v>
      </c>
      <c r="Z8" s="31"/>
      <c r="AA8" s="32">
        <v>44</v>
      </c>
      <c r="AB8" s="32"/>
      <c r="AC8" s="33"/>
      <c r="AD8" s="31">
        <f t="shared" ref="AD8:AD14" si="1">-AE8/$D$2%</f>
        <v>-3.8847923986737274</v>
      </c>
      <c r="AE8" s="35">
        <f>AH8/AA8%</f>
        <v>3.5681818181818183</v>
      </c>
      <c r="AF8" s="36"/>
      <c r="AG8" s="35"/>
      <c r="AH8" s="363">
        <f t="shared" ref="AH8:AH14" si="2">SUM(AI8:AQ8)</f>
        <v>1.57</v>
      </c>
      <c r="AI8" s="29">
        <v>1.57</v>
      </c>
      <c r="AJ8" s="37"/>
      <c r="AK8" s="37"/>
      <c r="AL8" s="37"/>
      <c r="AM8" s="37"/>
      <c r="AN8" s="37"/>
      <c r="AO8" s="37"/>
      <c r="AP8" s="37"/>
      <c r="AQ8" s="364"/>
    </row>
    <row r="9" spans="1:48" ht="15" customHeight="1" x14ac:dyDescent="0.2">
      <c r="A9" s="31"/>
      <c r="B9" s="32"/>
      <c r="C9" s="32"/>
      <c r="D9" s="32"/>
      <c r="E9" s="32"/>
      <c r="F9" s="32"/>
      <c r="G9" s="32"/>
      <c r="H9" s="32"/>
      <c r="I9" s="32"/>
      <c r="J9" s="32"/>
      <c r="K9" s="32"/>
      <c r="L9" s="32"/>
      <c r="M9" s="32"/>
      <c r="N9" s="32"/>
      <c r="O9" s="32"/>
      <c r="P9" s="32"/>
      <c r="Q9" s="32"/>
      <c r="R9" s="32"/>
      <c r="S9" s="32"/>
      <c r="T9" s="32"/>
      <c r="U9" s="32"/>
      <c r="V9" s="32"/>
      <c r="W9" s="32"/>
      <c r="X9" s="33">
        <f t="shared" si="0"/>
        <v>0</v>
      </c>
      <c r="Y9" s="34" t="s">
        <v>4</v>
      </c>
      <c r="Z9" s="31"/>
      <c r="AA9" s="32"/>
      <c r="AB9" s="32">
        <v>90</v>
      </c>
      <c r="AC9" s="33"/>
      <c r="AD9" s="31">
        <f t="shared" si="1"/>
        <v>-1.2217988265892459</v>
      </c>
      <c r="AE9" s="35">
        <f>AH9/AB9%</f>
        <v>1.1222222222222222</v>
      </c>
      <c r="AF9" s="36"/>
      <c r="AG9" s="35"/>
      <c r="AH9" s="363">
        <f t="shared" si="2"/>
        <v>1.01</v>
      </c>
      <c r="AI9" s="30">
        <v>1.01</v>
      </c>
      <c r="AJ9" s="37"/>
      <c r="AK9" s="37"/>
      <c r="AL9" s="37"/>
      <c r="AM9" s="37"/>
      <c r="AN9" s="37"/>
      <c r="AO9" s="37"/>
      <c r="AP9" s="37"/>
      <c r="AQ9" s="364"/>
    </row>
    <row r="10" spans="1:48" ht="15" customHeight="1" x14ac:dyDescent="0.2">
      <c r="A10" s="31"/>
      <c r="B10" s="32"/>
      <c r="C10" s="32"/>
      <c r="D10" s="32"/>
      <c r="E10" s="32"/>
      <c r="F10" s="32"/>
      <c r="G10" s="32"/>
      <c r="H10" s="32"/>
      <c r="I10" s="32"/>
      <c r="J10" s="32"/>
      <c r="K10" s="32"/>
      <c r="L10" s="32"/>
      <c r="M10" s="32"/>
      <c r="N10" s="32"/>
      <c r="O10" s="32"/>
      <c r="P10" s="32"/>
      <c r="Q10" s="32"/>
      <c r="R10" s="32"/>
      <c r="S10" s="32"/>
      <c r="T10" s="32"/>
      <c r="U10" s="32"/>
      <c r="V10" s="32"/>
      <c r="W10" s="32"/>
      <c r="X10" s="33">
        <f t="shared" si="0"/>
        <v>0</v>
      </c>
      <c r="Y10" s="34" t="s">
        <v>5</v>
      </c>
      <c r="Z10" s="31"/>
      <c r="AA10" s="32"/>
      <c r="AB10" s="32">
        <v>100</v>
      </c>
      <c r="AC10" s="33"/>
      <c r="AD10" s="31">
        <f t="shared" si="1"/>
        <v>-5.1823625476320085</v>
      </c>
      <c r="AE10" s="35">
        <f>AH10/AB10%</f>
        <v>4.76</v>
      </c>
      <c r="AF10" s="36"/>
      <c r="AG10" s="35"/>
      <c r="AH10" s="363">
        <f t="shared" si="2"/>
        <v>4.76</v>
      </c>
      <c r="AI10" s="30">
        <v>4.76</v>
      </c>
      <c r="AJ10" s="37"/>
      <c r="AK10" s="37"/>
      <c r="AL10" s="37"/>
      <c r="AM10" s="37"/>
      <c r="AN10" s="37"/>
      <c r="AO10" s="37"/>
      <c r="AP10" s="37"/>
      <c r="AQ10" s="364"/>
    </row>
    <row r="11" spans="1:48" ht="15" customHeight="1" x14ac:dyDescent="0.2">
      <c r="A11" s="31"/>
      <c r="B11" s="32"/>
      <c r="C11" s="32"/>
      <c r="D11" s="32"/>
      <c r="E11" s="32"/>
      <c r="F11" s="32"/>
      <c r="G11" s="32"/>
      <c r="H11" s="32"/>
      <c r="I11" s="32"/>
      <c r="J11" s="32"/>
      <c r="K11" s="32"/>
      <c r="L11" s="32"/>
      <c r="M11" s="32"/>
      <c r="N11" s="32"/>
      <c r="O11" s="32"/>
      <c r="P11" s="32"/>
      <c r="Q11" s="32"/>
      <c r="R11" s="32"/>
      <c r="S11" s="32"/>
      <c r="T11" s="32"/>
      <c r="U11" s="32"/>
      <c r="V11" s="32"/>
      <c r="W11" s="32"/>
      <c r="X11" s="33">
        <f t="shared" si="0"/>
        <v>0</v>
      </c>
      <c r="Y11" s="34" t="s">
        <v>18</v>
      </c>
      <c r="Z11" s="31"/>
      <c r="AA11" s="32">
        <v>50</v>
      </c>
      <c r="AB11" s="32"/>
      <c r="AC11" s="33"/>
      <c r="AD11" s="31">
        <f t="shared" si="1"/>
        <v>-8.9929232444202505</v>
      </c>
      <c r="AE11" s="35">
        <f>AH11/AA11%</f>
        <v>8.26</v>
      </c>
      <c r="AF11" s="36"/>
      <c r="AG11" s="35"/>
      <c r="AH11" s="363">
        <f t="shared" si="2"/>
        <v>4.13</v>
      </c>
      <c r="AI11" s="30">
        <v>1.79</v>
      </c>
      <c r="AJ11" s="29">
        <v>0.52</v>
      </c>
      <c r="AK11" s="29">
        <v>0.49</v>
      </c>
      <c r="AL11" s="29">
        <v>0.82000000000000006</v>
      </c>
      <c r="AM11" s="29">
        <v>0</v>
      </c>
      <c r="AN11" s="29">
        <v>0</v>
      </c>
      <c r="AO11" s="29">
        <v>0</v>
      </c>
      <c r="AP11" s="29">
        <v>0.51</v>
      </c>
      <c r="AQ11" s="364"/>
    </row>
    <row r="12" spans="1:48" ht="15" customHeight="1" x14ac:dyDescent="0.2">
      <c r="A12" s="31"/>
      <c r="B12" s="32"/>
      <c r="C12" s="32"/>
      <c r="D12" s="32"/>
      <c r="E12" s="32"/>
      <c r="F12" s="32"/>
      <c r="G12" s="32"/>
      <c r="H12" s="32"/>
      <c r="I12" s="32"/>
      <c r="J12" s="32"/>
      <c r="K12" s="32"/>
      <c r="L12" s="32"/>
      <c r="M12" s="32"/>
      <c r="N12" s="32"/>
      <c r="O12" s="32"/>
      <c r="P12" s="32"/>
      <c r="Q12" s="32"/>
      <c r="R12" s="32"/>
      <c r="S12" s="32"/>
      <c r="T12" s="32"/>
      <c r="U12" s="32"/>
      <c r="V12" s="32"/>
      <c r="W12" s="32"/>
      <c r="X12" s="33">
        <f t="shared" si="0"/>
        <v>0</v>
      </c>
      <c r="Y12" s="34" t="s">
        <v>19</v>
      </c>
      <c r="Z12" s="31"/>
      <c r="AA12" s="32">
        <v>150</v>
      </c>
      <c r="AB12" s="32"/>
      <c r="AC12" s="33"/>
      <c r="AD12" s="31">
        <f t="shared" si="1"/>
        <v>-8.020322990382871</v>
      </c>
      <c r="AE12" s="35">
        <f>AH12/AA12%</f>
        <v>7.3666666666666671</v>
      </c>
      <c r="AF12" s="36"/>
      <c r="AG12" s="35"/>
      <c r="AH12" s="363">
        <f t="shared" si="2"/>
        <v>11.05</v>
      </c>
      <c r="AI12" s="30">
        <v>6.33</v>
      </c>
      <c r="AJ12" s="29">
        <v>0</v>
      </c>
      <c r="AK12" s="29">
        <v>1.6600000000000001</v>
      </c>
      <c r="AL12" s="29">
        <v>2.7600000000000002</v>
      </c>
      <c r="AM12" s="29">
        <v>0</v>
      </c>
      <c r="AN12" s="29">
        <v>0</v>
      </c>
      <c r="AO12" s="29">
        <v>0</v>
      </c>
      <c r="AP12" s="29">
        <v>0.3</v>
      </c>
      <c r="AQ12" s="364"/>
    </row>
    <row r="13" spans="1:48" ht="15" customHeight="1" x14ac:dyDescent="0.2">
      <c r="A13" s="31"/>
      <c r="B13" s="32"/>
      <c r="C13" s="32"/>
      <c r="D13" s="32"/>
      <c r="E13" s="32"/>
      <c r="F13" s="32"/>
      <c r="G13" s="32"/>
      <c r="H13" s="32"/>
      <c r="I13" s="32"/>
      <c r="J13" s="32"/>
      <c r="K13" s="32"/>
      <c r="L13" s="32"/>
      <c r="M13" s="32"/>
      <c r="N13" s="32"/>
      <c r="O13" s="32"/>
      <c r="P13" s="32"/>
      <c r="Q13" s="32"/>
      <c r="R13" s="32"/>
      <c r="S13" s="32"/>
      <c r="T13" s="32"/>
      <c r="U13" s="32"/>
      <c r="V13" s="32"/>
      <c r="W13" s="32"/>
      <c r="X13" s="33">
        <f t="shared" si="0"/>
        <v>0</v>
      </c>
      <c r="Y13" s="34" t="s">
        <v>71</v>
      </c>
      <c r="Z13" s="31"/>
      <c r="AA13" s="32">
        <v>85</v>
      </c>
      <c r="AB13" s="32"/>
      <c r="AC13" s="33"/>
      <c r="AD13" s="31">
        <f t="shared" si="1"/>
        <v>-27.231099298728747</v>
      </c>
      <c r="AE13" s="35">
        <f>AH13/AA13%</f>
        <v>25.011764705882353</v>
      </c>
      <c r="AF13" s="36"/>
      <c r="AG13" s="35"/>
      <c r="AH13" s="363">
        <f t="shared" si="2"/>
        <v>21.259999999999998</v>
      </c>
      <c r="AI13" s="30">
        <v>9.94</v>
      </c>
      <c r="AJ13" s="29">
        <v>2.4</v>
      </c>
      <c r="AK13" s="29">
        <v>1.58</v>
      </c>
      <c r="AL13" s="29">
        <v>2.62</v>
      </c>
      <c r="AM13" s="29">
        <v>0</v>
      </c>
      <c r="AN13" s="29">
        <v>0</v>
      </c>
      <c r="AO13" s="29">
        <v>0</v>
      </c>
      <c r="AP13" s="29">
        <v>4.72</v>
      </c>
      <c r="AQ13" s="365">
        <v>0</v>
      </c>
    </row>
    <row r="14" spans="1:48" ht="15" customHeight="1" x14ac:dyDescent="0.2">
      <c r="A14" s="31"/>
      <c r="B14" s="38"/>
      <c r="C14" s="32"/>
      <c r="D14" s="32"/>
      <c r="E14" s="32"/>
      <c r="F14" s="32"/>
      <c r="G14" s="32"/>
      <c r="H14" s="32"/>
      <c r="I14" s="32"/>
      <c r="J14" s="32"/>
      <c r="K14" s="32"/>
      <c r="L14" s="32"/>
      <c r="M14" s="32"/>
      <c r="N14" s="29">
        <f>AH14-AE14</f>
        <v>1.0999999999999999</v>
      </c>
      <c r="O14" s="32"/>
      <c r="P14" s="32"/>
      <c r="Q14" s="32"/>
      <c r="R14" s="32"/>
      <c r="S14" s="32"/>
      <c r="T14" s="32"/>
      <c r="U14" s="32"/>
      <c r="V14" s="32"/>
      <c r="W14" s="32"/>
      <c r="X14" s="33">
        <f t="shared" si="0"/>
        <v>1.0999999999999999</v>
      </c>
      <c r="Y14" s="34" t="s">
        <v>54</v>
      </c>
      <c r="Z14" s="31"/>
      <c r="AA14" s="32"/>
      <c r="AB14" s="32">
        <v>300</v>
      </c>
      <c r="AC14" s="33"/>
      <c r="AD14" s="31">
        <f t="shared" si="1"/>
        <v>-0.5988023952095809</v>
      </c>
      <c r="AE14" s="365">
        <v>0.55000000000000004</v>
      </c>
      <c r="AF14" s="36"/>
      <c r="AG14" s="35"/>
      <c r="AH14" s="363">
        <f t="shared" si="2"/>
        <v>1.65</v>
      </c>
      <c r="AI14" s="39">
        <f>AE14*AB14/100</f>
        <v>1.65</v>
      </c>
      <c r="AJ14" s="38"/>
      <c r="AK14" s="38"/>
      <c r="AL14" s="38"/>
      <c r="AM14" s="38"/>
      <c r="AN14" s="38"/>
      <c r="AO14" s="38"/>
      <c r="AP14" s="38"/>
      <c r="AQ14" s="35"/>
      <c r="AV14" s="169"/>
    </row>
    <row r="15" spans="1:48" ht="15" customHeight="1" x14ac:dyDescent="0.2">
      <c r="A15" s="366">
        <f>Z15%*AD15</f>
        <v>36.492101701636436</v>
      </c>
      <c r="B15" s="38"/>
      <c r="C15" s="32"/>
      <c r="D15" s="32"/>
      <c r="E15" s="32"/>
      <c r="F15" s="32"/>
      <c r="G15" s="32"/>
      <c r="H15" s="32"/>
      <c r="I15" s="32"/>
      <c r="J15" s="32"/>
      <c r="K15" s="32"/>
      <c r="L15" s="32"/>
      <c r="M15" s="32"/>
      <c r="N15" s="32"/>
      <c r="O15" s="32"/>
      <c r="P15" s="32"/>
      <c r="Q15" s="32"/>
      <c r="R15" s="32"/>
      <c r="S15" s="32"/>
      <c r="T15" s="32"/>
      <c r="U15" s="32"/>
      <c r="V15" s="32"/>
      <c r="W15" s="32"/>
      <c r="X15" s="33">
        <f t="shared" si="0"/>
        <v>36.492101701636436</v>
      </c>
      <c r="Y15" s="34" t="s">
        <v>34</v>
      </c>
      <c r="Z15" s="31">
        <v>100</v>
      </c>
      <c r="AA15" s="32"/>
      <c r="AB15" s="32"/>
      <c r="AC15" s="33"/>
      <c r="AD15" s="31">
        <f>-SUM(AD16:AD80,AD8:AD14)</f>
        <v>36.492101701636436</v>
      </c>
      <c r="AE15" s="35"/>
      <c r="AF15" s="36"/>
      <c r="AG15" s="35"/>
      <c r="AH15" s="363">
        <f t="shared" ref="AH15:AH52" si="3">SUM(AI15:AQ15)</f>
        <v>0</v>
      </c>
      <c r="AI15" s="36"/>
      <c r="AJ15" s="38"/>
      <c r="AK15" s="38"/>
      <c r="AL15" s="38"/>
      <c r="AM15" s="38"/>
      <c r="AN15" s="38"/>
      <c r="AO15" s="38"/>
      <c r="AP15" s="38"/>
      <c r="AQ15" s="35"/>
      <c r="AV15" s="169"/>
    </row>
    <row r="16" spans="1:48" ht="15" customHeight="1" x14ac:dyDescent="0.2">
      <c r="A16" s="367"/>
      <c r="B16" s="29">
        <v>0.89</v>
      </c>
      <c r="C16" s="171"/>
      <c r="D16" s="171"/>
      <c r="E16" s="40"/>
      <c r="F16" s="40"/>
      <c r="G16" s="40"/>
      <c r="H16" s="40"/>
      <c r="I16" s="40"/>
      <c r="J16" s="171"/>
      <c r="K16" s="171"/>
      <c r="L16" s="171"/>
      <c r="M16" s="171"/>
      <c r="N16" s="171"/>
      <c r="O16" s="171"/>
      <c r="P16" s="171"/>
      <c r="Q16" s="171"/>
      <c r="R16" s="171"/>
      <c r="S16" s="171"/>
      <c r="T16" s="171"/>
      <c r="U16" s="171"/>
      <c r="V16" s="171"/>
      <c r="W16" s="171"/>
      <c r="X16" s="33">
        <f t="shared" si="0"/>
        <v>0.89</v>
      </c>
      <c r="Y16" s="41" t="s">
        <v>72</v>
      </c>
      <c r="Z16" s="170"/>
      <c r="AA16" s="171"/>
      <c r="AB16" s="40">
        <v>38</v>
      </c>
      <c r="AC16" s="172"/>
      <c r="AD16" s="170"/>
      <c r="AE16" s="172"/>
      <c r="AF16" s="170"/>
      <c r="AG16" s="172"/>
      <c r="AH16" s="28">
        <f t="shared" si="3"/>
        <v>0.33819999999999995</v>
      </c>
      <c r="AI16" s="368">
        <f>X16*AB16/100*0.35</f>
        <v>0.11836999999999999</v>
      </c>
      <c r="AJ16" s="369">
        <f>X16*AB16/100*0.07</f>
        <v>2.3674000000000001E-2</v>
      </c>
      <c r="AK16" s="369">
        <f>X16*AB16/100*0.06</f>
        <v>2.0292000000000001E-2</v>
      </c>
      <c r="AL16" s="369">
        <f>X16*AB16/100*0.03</f>
        <v>1.0146000000000001E-2</v>
      </c>
      <c r="AM16" s="369">
        <f>X16*AB16/100*0.04</f>
        <v>1.3528E-2</v>
      </c>
      <c r="AN16" s="369">
        <f>X16*AB16/100*0.38</f>
        <v>0.12851599999999999</v>
      </c>
      <c r="AO16" s="369"/>
      <c r="AP16" s="369">
        <f>X16*AB16/100*0.07</f>
        <v>2.3674000000000001E-2</v>
      </c>
      <c r="AQ16" s="370"/>
      <c r="AV16" s="169"/>
    </row>
    <row r="17" spans="1:48" ht="15" customHeight="1" x14ac:dyDescent="0.2">
      <c r="A17" s="31"/>
      <c r="B17" s="38"/>
      <c r="C17" s="32"/>
      <c r="D17" s="32"/>
      <c r="E17" s="29">
        <v>24.75</v>
      </c>
      <c r="F17" s="38"/>
      <c r="G17" s="38"/>
      <c r="H17" s="38"/>
      <c r="I17" s="38"/>
      <c r="J17" s="32"/>
      <c r="K17" s="32"/>
      <c r="L17" s="32"/>
      <c r="M17" s="32"/>
      <c r="N17" s="38"/>
      <c r="O17" s="38"/>
      <c r="P17" s="38"/>
      <c r="Q17" s="38"/>
      <c r="R17" s="38"/>
      <c r="S17" s="38"/>
      <c r="T17" s="38"/>
      <c r="U17" s="38"/>
      <c r="V17" s="38"/>
      <c r="W17" s="38"/>
      <c r="X17" s="33">
        <f t="shared" si="0"/>
        <v>24.75</v>
      </c>
      <c r="Y17" s="34" t="s">
        <v>55</v>
      </c>
      <c r="Z17" s="31"/>
      <c r="AA17" s="32"/>
      <c r="AB17" s="38">
        <v>80</v>
      </c>
      <c r="AC17" s="33"/>
      <c r="AD17" s="31"/>
      <c r="AE17" s="33"/>
      <c r="AF17" s="31"/>
      <c r="AG17" s="33"/>
      <c r="AH17" s="28">
        <f t="shared" si="3"/>
        <v>19.8</v>
      </c>
      <c r="AI17" s="42">
        <f t="shared" ref="AI17:AI22" si="4">X17*AB17/100</f>
        <v>19.8</v>
      </c>
      <c r="AJ17" s="32"/>
      <c r="AK17" s="32"/>
      <c r="AL17" s="32"/>
      <c r="AM17" s="32"/>
      <c r="AN17" s="32"/>
      <c r="AO17" s="32"/>
      <c r="AP17" s="32"/>
      <c r="AQ17" s="33"/>
      <c r="AS17" s="169"/>
    </row>
    <row r="18" spans="1:48" ht="15" customHeight="1" x14ac:dyDescent="0.2">
      <c r="A18" s="31"/>
      <c r="B18" s="38"/>
      <c r="C18" s="32"/>
      <c r="D18" s="32"/>
      <c r="E18" s="38"/>
      <c r="F18" s="38"/>
      <c r="G18" s="38"/>
      <c r="H18" s="38"/>
      <c r="I18" s="29">
        <v>0</v>
      </c>
      <c r="J18" s="32"/>
      <c r="K18" s="32"/>
      <c r="L18" s="32"/>
      <c r="M18" s="32"/>
      <c r="N18" s="38"/>
      <c r="O18" s="38"/>
      <c r="P18" s="38"/>
      <c r="Q18" s="38"/>
      <c r="R18" s="38"/>
      <c r="S18" s="38"/>
      <c r="T18" s="38"/>
      <c r="U18" s="38"/>
      <c r="V18" s="38"/>
      <c r="W18" s="38"/>
      <c r="X18" s="33">
        <f t="shared" si="0"/>
        <v>0</v>
      </c>
      <c r="Y18" s="34" t="s">
        <v>56</v>
      </c>
      <c r="Z18" s="31"/>
      <c r="AA18" s="32"/>
      <c r="AB18" s="38">
        <v>85</v>
      </c>
      <c r="AC18" s="33"/>
      <c r="AD18" s="31"/>
      <c r="AE18" s="33"/>
      <c r="AF18" s="31"/>
      <c r="AG18" s="33"/>
      <c r="AH18" s="28">
        <f t="shared" si="3"/>
        <v>0</v>
      </c>
      <c r="AI18" s="42">
        <f t="shared" si="4"/>
        <v>0</v>
      </c>
      <c r="AJ18" s="32"/>
      <c r="AK18" s="32"/>
      <c r="AL18" s="32"/>
      <c r="AM18" s="32"/>
      <c r="AN18" s="32"/>
      <c r="AO18" s="32"/>
      <c r="AP18" s="32"/>
      <c r="AQ18" s="33"/>
      <c r="AS18" s="169"/>
    </row>
    <row r="19" spans="1:48" ht="15" customHeight="1" x14ac:dyDescent="0.2">
      <c r="A19" s="31"/>
      <c r="B19" s="32"/>
      <c r="C19" s="32"/>
      <c r="D19" s="32"/>
      <c r="E19" s="32"/>
      <c r="F19" s="32"/>
      <c r="G19" s="32"/>
      <c r="H19" s="32"/>
      <c r="I19" s="37"/>
      <c r="J19" s="32"/>
      <c r="K19" s="32"/>
      <c r="L19" s="32"/>
      <c r="M19" s="32"/>
      <c r="N19" s="38"/>
      <c r="O19" s="38"/>
      <c r="P19" s="38"/>
      <c r="Q19" s="37"/>
      <c r="R19" s="37"/>
      <c r="S19" s="29">
        <v>5.7</v>
      </c>
      <c r="T19" s="38"/>
      <c r="U19" s="38"/>
      <c r="V19" s="38"/>
      <c r="W19" s="38"/>
      <c r="X19" s="33">
        <f t="shared" si="0"/>
        <v>5.7</v>
      </c>
      <c r="Y19" s="34" t="s">
        <v>57</v>
      </c>
      <c r="Z19" s="31"/>
      <c r="AA19" s="32"/>
      <c r="AB19" s="38">
        <v>75</v>
      </c>
      <c r="AC19" s="33"/>
      <c r="AD19" s="31"/>
      <c r="AE19" s="33"/>
      <c r="AF19" s="31"/>
      <c r="AG19" s="33"/>
      <c r="AH19" s="28">
        <f t="shared" si="3"/>
        <v>4.2750000000000004</v>
      </c>
      <c r="AI19" s="42">
        <f t="shared" si="4"/>
        <v>4.2750000000000004</v>
      </c>
      <c r="AJ19" s="32"/>
      <c r="AK19" s="32"/>
      <c r="AL19" s="32"/>
      <c r="AM19" s="32"/>
      <c r="AN19" s="32"/>
      <c r="AO19" s="32"/>
      <c r="AP19" s="32"/>
      <c r="AQ19" s="33"/>
      <c r="AV19" s="169"/>
    </row>
    <row r="20" spans="1:48" ht="15" customHeight="1" x14ac:dyDescent="0.2">
      <c r="A20" s="31"/>
      <c r="B20" s="32"/>
      <c r="C20" s="32"/>
      <c r="D20" s="32"/>
      <c r="E20" s="32"/>
      <c r="F20" s="32"/>
      <c r="G20" s="32"/>
      <c r="H20" s="32"/>
      <c r="I20" s="37"/>
      <c r="J20" s="32"/>
      <c r="K20" s="32"/>
      <c r="L20" s="32"/>
      <c r="M20" s="32"/>
      <c r="N20" s="38"/>
      <c r="O20" s="38"/>
      <c r="P20" s="38"/>
      <c r="Q20" s="37"/>
      <c r="R20" s="29">
        <v>29.49</v>
      </c>
      <c r="S20" s="37"/>
      <c r="T20" s="38"/>
      <c r="U20" s="38"/>
      <c r="V20" s="38"/>
      <c r="W20" s="38"/>
      <c r="X20" s="33">
        <f t="shared" si="0"/>
        <v>29.49</v>
      </c>
      <c r="Y20" s="34" t="s">
        <v>58</v>
      </c>
      <c r="Z20" s="31"/>
      <c r="AA20" s="32"/>
      <c r="AB20" s="38">
        <v>65</v>
      </c>
      <c r="AC20" s="33"/>
      <c r="AD20" s="31"/>
      <c r="AE20" s="33"/>
      <c r="AF20" s="31"/>
      <c r="AG20" s="33"/>
      <c r="AH20" s="28">
        <f t="shared" si="3"/>
        <v>19.168499999999998</v>
      </c>
      <c r="AI20" s="42">
        <f t="shared" si="4"/>
        <v>19.168499999999998</v>
      </c>
      <c r="AJ20" s="32"/>
      <c r="AK20" s="32"/>
      <c r="AL20" s="32"/>
      <c r="AM20" s="32"/>
      <c r="AN20" s="32"/>
      <c r="AO20" s="32"/>
      <c r="AP20" s="32"/>
      <c r="AQ20" s="33"/>
      <c r="AS20" s="169"/>
    </row>
    <row r="21" spans="1:48" ht="15" customHeight="1" x14ac:dyDescent="0.2">
      <c r="A21" s="31"/>
      <c r="B21" s="32"/>
      <c r="C21" s="32"/>
      <c r="D21" s="32"/>
      <c r="E21" s="32"/>
      <c r="F21" s="32"/>
      <c r="G21" s="32"/>
      <c r="H21" s="32"/>
      <c r="I21" s="37"/>
      <c r="J21" s="32"/>
      <c r="K21" s="32"/>
      <c r="L21" s="32"/>
      <c r="M21" s="32"/>
      <c r="N21" s="38"/>
      <c r="O21" s="38"/>
      <c r="P21" s="38"/>
      <c r="Q21" s="29">
        <v>1.22</v>
      </c>
      <c r="R21" s="37"/>
      <c r="S21" s="37"/>
      <c r="T21" s="38"/>
      <c r="U21" s="38"/>
      <c r="V21" s="38"/>
      <c r="W21" s="38"/>
      <c r="X21" s="33">
        <f t="shared" si="0"/>
        <v>1.22</v>
      </c>
      <c r="Y21" s="34" t="s">
        <v>59</v>
      </c>
      <c r="Z21" s="31"/>
      <c r="AA21" s="32"/>
      <c r="AB21" s="38">
        <v>65</v>
      </c>
      <c r="AC21" s="33"/>
      <c r="AD21" s="31"/>
      <c r="AE21" s="33"/>
      <c r="AF21" s="31"/>
      <c r="AG21" s="33"/>
      <c r="AH21" s="28">
        <f t="shared" si="3"/>
        <v>0.79299999999999993</v>
      </c>
      <c r="AI21" s="42">
        <f t="shared" si="4"/>
        <v>0.79299999999999993</v>
      </c>
      <c r="AJ21" s="32"/>
      <c r="AK21" s="32"/>
      <c r="AL21" s="32"/>
      <c r="AM21" s="32"/>
      <c r="AN21" s="32"/>
      <c r="AO21" s="32"/>
      <c r="AP21" s="32"/>
      <c r="AQ21" s="33"/>
      <c r="AS21" s="169"/>
    </row>
    <row r="22" spans="1:48" ht="15" customHeight="1" x14ac:dyDescent="0.2">
      <c r="A22" s="31"/>
      <c r="B22" s="32"/>
      <c r="C22" s="32"/>
      <c r="D22" s="32"/>
      <c r="E22" s="32"/>
      <c r="F22" s="32"/>
      <c r="G22" s="32"/>
      <c r="H22" s="32"/>
      <c r="I22" s="37"/>
      <c r="J22" s="32"/>
      <c r="K22" s="32"/>
      <c r="L22" s="29">
        <v>0.91</v>
      </c>
      <c r="M22" s="32"/>
      <c r="N22" s="38"/>
      <c r="O22" s="38"/>
      <c r="P22" s="38"/>
      <c r="Q22" s="38"/>
      <c r="R22" s="38"/>
      <c r="S22" s="38"/>
      <c r="T22" s="38"/>
      <c r="U22" s="38"/>
      <c r="V22" s="38"/>
      <c r="W22" s="38"/>
      <c r="X22" s="33">
        <f t="shared" si="0"/>
        <v>0.91</v>
      </c>
      <c r="Y22" s="34" t="s">
        <v>6</v>
      </c>
      <c r="Z22" s="31"/>
      <c r="AA22" s="32"/>
      <c r="AB22" s="32">
        <v>100</v>
      </c>
      <c r="AC22" s="33"/>
      <c r="AD22" s="31"/>
      <c r="AE22" s="33"/>
      <c r="AF22" s="31"/>
      <c r="AG22" s="33"/>
      <c r="AH22" s="28">
        <f t="shared" si="3"/>
        <v>0.91</v>
      </c>
      <c r="AI22" s="42">
        <f t="shared" si="4"/>
        <v>0.91</v>
      </c>
      <c r="AJ22" s="32"/>
      <c r="AK22" s="32"/>
      <c r="AL22" s="32"/>
      <c r="AM22" s="32"/>
      <c r="AN22" s="32"/>
      <c r="AO22" s="32"/>
      <c r="AP22" s="32"/>
      <c r="AQ22" s="33"/>
      <c r="AV22" s="169"/>
    </row>
    <row r="23" spans="1:48" ht="15" customHeight="1" x14ac:dyDescent="0.2">
      <c r="A23" s="31"/>
      <c r="B23" s="32"/>
      <c r="C23" s="38"/>
      <c r="D23" s="38"/>
      <c r="E23" s="29"/>
      <c r="F23" s="38"/>
      <c r="G23" s="38"/>
      <c r="H23" s="38"/>
      <c r="I23" s="37"/>
      <c r="J23" s="38"/>
      <c r="K23" s="38"/>
      <c r="L23" s="38"/>
      <c r="M23" s="38"/>
      <c r="N23" s="38"/>
      <c r="O23" s="38"/>
      <c r="P23" s="38"/>
      <c r="Q23" s="38"/>
      <c r="R23" s="38"/>
      <c r="S23" s="38"/>
      <c r="T23" s="38"/>
      <c r="U23" s="38"/>
      <c r="V23" s="38"/>
      <c r="W23" s="38"/>
      <c r="X23" s="33">
        <f t="shared" si="0"/>
        <v>0</v>
      </c>
      <c r="Y23" s="34" t="s">
        <v>60</v>
      </c>
      <c r="Z23" s="31"/>
      <c r="AA23" s="32">
        <v>90</v>
      </c>
      <c r="AB23" s="32"/>
      <c r="AC23" s="33"/>
      <c r="AD23" s="31"/>
      <c r="AE23" s="33"/>
      <c r="AF23" s="31"/>
      <c r="AG23" s="33"/>
      <c r="AH23" s="28">
        <f t="shared" si="3"/>
        <v>0</v>
      </c>
      <c r="AI23" s="42"/>
      <c r="AJ23" s="32"/>
      <c r="AK23" s="32"/>
      <c r="AL23" s="32"/>
      <c r="AM23" s="32"/>
      <c r="AN23" s="32">
        <f>X23*AA23/100</f>
        <v>0</v>
      </c>
      <c r="AO23" s="32"/>
      <c r="AP23" s="32"/>
      <c r="AQ23" s="33"/>
      <c r="AV23" s="169"/>
    </row>
    <row r="24" spans="1:48" ht="15" customHeight="1" x14ac:dyDescent="0.2">
      <c r="A24" s="31"/>
      <c r="B24" s="32"/>
      <c r="C24" s="38"/>
      <c r="D24" s="38"/>
      <c r="E24" s="38"/>
      <c r="F24" s="38"/>
      <c r="G24" s="38"/>
      <c r="H24" s="38"/>
      <c r="I24" s="29"/>
      <c r="J24" s="38"/>
      <c r="K24" s="38"/>
      <c r="L24" s="38"/>
      <c r="M24" s="38"/>
      <c r="N24" s="38"/>
      <c r="O24" s="38"/>
      <c r="P24" s="38"/>
      <c r="Q24" s="38"/>
      <c r="R24" s="38"/>
      <c r="S24" s="38"/>
      <c r="T24" s="38"/>
      <c r="U24" s="38"/>
      <c r="V24" s="38"/>
      <c r="W24" s="38"/>
      <c r="X24" s="33">
        <f t="shared" si="0"/>
        <v>0</v>
      </c>
      <c r="Y24" s="34" t="s">
        <v>61</v>
      </c>
      <c r="Z24" s="31"/>
      <c r="AA24" s="32">
        <v>90</v>
      </c>
      <c r="AB24" s="32"/>
      <c r="AC24" s="33"/>
      <c r="AD24" s="31"/>
      <c r="AE24" s="33"/>
      <c r="AF24" s="31"/>
      <c r="AG24" s="33"/>
      <c r="AH24" s="28">
        <f t="shared" si="3"/>
        <v>0</v>
      </c>
      <c r="AI24" s="42"/>
      <c r="AJ24" s="32"/>
      <c r="AK24" s="32"/>
      <c r="AL24" s="32"/>
      <c r="AM24" s="32"/>
      <c r="AN24" s="32">
        <f>X24*AA24/100</f>
        <v>0</v>
      </c>
      <c r="AO24" s="32"/>
      <c r="AP24" s="32"/>
      <c r="AQ24" s="33"/>
      <c r="AS24" s="169"/>
    </row>
    <row r="25" spans="1:48" ht="15" customHeight="1" x14ac:dyDescent="0.2">
      <c r="A25" s="31"/>
      <c r="B25" s="32"/>
      <c r="C25" s="29"/>
      <c r="D25" s="29"/>
      <c r="E25" s="37"/>
      <c r="F25" s="37"/>
      <c r="G25" s="37"/>
      <c r="H25" s="37"/>
      <c r="I25" s="37"/>
      <c r="J25" s="37"/>
      <c r="K25" s="37"/>
      <c r="L25" s="37"/>
      <c r="M25" s="37"/>
      <c r="N25" s="37"/>
      <c r="O25" s="371"/>
      <c r="P25" s="37"/>
      <c r="Q25" s="37"/>
      <c r="R25" s="37"/>
      <c r="S25" s="29">
        <v>10</v>
      </c>
      <c r="T25" s="371"/>
      <c r="U25" s="37"/>
      <c r="V25" s="37"/>
      <c r="W25" s="29"/>
      <c r="X25" s="33">
        <f t="shared" si="0"/>
        <v>10</v>
      </c>
      <c r="Y25" s="34" t="s">
        <v>260</v>
      </c>
      <c r="Z25" s="31"/>
      <c r="AA25" s="32">
        <v>90</v>
      </c>
      <c r="AB25" s="32"/>
      <c r="AC25" s="33"/>
      <c r="AD25" s="31"/>
      <c r="AE25" s="33"/>
      <c r="AF25" s="31"/>
      <c r="AG25" s="33"/>
      <c r="AH25" s="28">
        <f t="shared" si="3"/>
        <v>9</v>
      </c>
      <c r="AI25" s="39"/>
      <c r="AJ25" s="38"/>
      <c r="AK25" s="38"/>
      <c r="AL25" s="38"/>
      <c r="AM25" s="38"/>
      <c r="AN25" s="38">
        <f>X25*AA25/100</f>
        <v>9</v>
      </c>
      <c r="AO25" s="38"/>
      <c r="AP25" s="38"/>
      <c r="AQ25" s="33"/>
      <c r="AR25" s="174"/>
      <c r="AS25" s="169"/>
    </row>
    <row r="26" spans="1:48" ht="15" customHeight="1" x14ac:dyDescent="0.2">
      <c r="A26" s="31"/>
      <c r="B26" s="32"/>
      <c r="C26" s="32"/>
      <c r="D26" s="32"/>
      <c r="E26" s="32"/>
      <c r="F26" s="32"/>
      <c r="G26" s="32"/>
      <c r="H26" s="38"/>
      <c r="I26" s="38"/>
      <c r="J26" s="38"/>
      <c r="K26" s="38"/>
      <c r="L26" s="29">
        <v>18.14</v>
      </c>
      <c r="M26" s="38"/>
      <c r="N26" s="38"/>
      <c r="O26" s="38"/>
      <c r="P26" s="38"/>
      <c r="Q26" s="38"/>
      <c r="R26" s="38"/>
      <c r="S26" s="38"/>
      <c r="T26" s="38"/>
      <c r="U26" s="38"/>
      <c r="V26" s="38"/>
      <c r="W26" s="38"/>
      <c r="X26" s="33">
        <f t="shared" si="0"/>
        <v>18.14</v>
      </c>
      <c r="Y26" s="34" t="s">
        <v>45</v>
      </c>
      <c r="Z26" s="32">
        <v>100</v>
      </c>
      <c r="AA26" s="32"/>
      <c r="AB26" s="32"/>
      <c r="AC26" s="33"/>
      <c r="AD26" s="31">
        <f>X26*Z26/100</f>
        <v>18.14</v>
      </c>
      <c r="AE26" s="33"/>
      <c r="AF26" s="31"/>
      <c r="AG26" s="33"/>
      <c r="AH26" s="28">
        <f t="shared" si="3"/>
        <v>0</v>
      </c>
      <c r="AI26" s="39"/>
      <c r="AJ26" s="38"/>
      <c r="AK26" s="38"/>
      <c r="AL26" s="38"/>
      <c r="AM26" s="38"/>
      <c r="AN26" s="38"/>
      <c r="AO26" s="38"/>
      <c r="AP26" s="38"/>
      <c r="AQ26" s="33"/>
      <c r="AV26" s="169"/>
    </row>
    <row r="27" spans="1:48" ht="15" customHeight="1" x14ac:dyDescent="0.2">
      <c r="A27" s="31"/>
      <c r="B27" s="32"/>
      <c r="C27" s="32"/>
      <c r="D27" s="32"/>
      <c r="E27" s="32"/>
      <c r="F27" s="32"/>
      <c r="G27" s="32"/>
      <c r="H27" s="38"/>
      <c r="I27" s="38"/>
      <c r="J27" s="29">
        <v>0.5</v>
      </c>
      <c r="K27" s="38"/>
      <c r="L27" s="38"/>
      <c r="M27" s="38"/>
      <c r="N27" s="38"/>
      <c r="O27" s="38"/>
      <c r="P27" s="38"/>
      <c r="Q27" s="38"/>
      <c r="R27" s="38"/>
      <c r="S27" s="38"/>
      <c r="T27" s="38"/>
      <c r="U27" s="38"/>
      <c r="V27" s="38"/>
      <c r="W27" s="38"/>
      <c r="X27" s="33">
        <f t="shared" si="0"/>
        <v>0.5</v>
      </c>
      <c r="Y27" s="34" t="s">
        <v>62</v>
      </c>
      <c r="Z27" s="32">
        <v>100</v>
      </c>
      <c r="AA27" s="32"/>
      <c r="AB27" s="32"/>
      <c r="AC27" s="33"/>
      <c r="AD27" s="31">
        <f>Z27*X27/100</f>
        <v>0.5</v>
      </c>
      <c r="AE27" s="33"/>
      <c r="AF27" s="31"/>
      <c r="AG27" s="33"/>
      <c r="AH27" s="28">
        <f t="shared" si="3"/>
        <v>0</v>
      </c>
      <c r="AI27" s="39"/>
      <c r="AJ27" s="38"/>
      <c r="AK27" s="38"/>
      <c r="AL27" s="38"/>
      <c r="AM27" s="38"/>
      <c r="AN27" s="38"/>
      <c r="AO27" s="38"/>
      <c r="AP27" s="38"/>
      <c r="AQ27" s="33"/>
      <c r="AV27" s="169"/>
    </row>
    <row r="28" spans="1:48" ht="15" customHeight="1" x14ac:dyDescent="0.2">
      <c r="A28" s="31"/>
      <c r="B28" s="32"/>
      <c r="C28" s="32"/>
      <c r="D28" s="32"/>
      <c r="E28" s="32"/>
      <c r="F28" s="32"/>
      <c r="G28" s="32"/>
      <c r="H28" s="38"/>
      <c r="I28" s="38"/>
      <c r="J28" s="29"/>
      <c r="K28" s="38"/>
      <c r="L28" s="38"/>
      <c r="M28" s="38"/>
      <c r="N28" s="38"/>
      <c r="O28" s="38"/>
      <c r="P28" s="38"/>
      <c r="Q28" s="38"/>
      <c r="R28" s="38"/>
      <c r="S28" s="38"/>
      <c r="T28" s="38"/>
      <c r="U28" s="38"/>
      <c r="V28" s="38"/>
      <c r="W28" s="38"/>
      <c r="X28" s="33">
        <f t="shared" si="0"/>
        <v>0</v>
      </c>
      <c r="Y28" s="34" t="s">
        <v>124</v>
      </c>
      <c r="Z28" s="36">
        <v>100</v>
      </c>
      <c r="AA28" s="38"/>
      <c r="AB28" s="38"/>
      <c r="AC28" s="35"/>
      <c r="AD28" s="36">
        <f>Z28*X28/100</f>
        <v>0</v>
      </c>
      <c r="AE28" s="35"/>
      <c r="AF28" s="31"/>
      <c r="AG28" s="33"/>
      <c r="AH28" s="28">
        <f t="shared" si="3"/>
        <v>0</v>
      </c>
      <c r="AI28" s="39"/>
      <c r="AJ28" s="38"/>
      <c r="AK28" s="38"/>
      <c r="AL28" s="38"/>
      <c r="AM28" s="38"/>
      <c r="AN28" s="38"/>
      <c r="AO28" s="38"/>
      <c r="AP28" s="38"/>
      <c r="AQ28" s="33"/>
    </row>
    <row r="29" spans="1:48" ht="15" customHeight="1" x14ac:dyDescent="0.2">
      <c r="A29" s="31"/>
      <c r="B29" s="32"/>
      <c r="C29" s="32"/>
      <c r="D29" s="32"/>
      <c r="E29" s="32"/>
      <c r="F29" s="32"/>
      <c r="G29" s="32"/>
      <c r="H29" s="38"/>
      <c r="I29" s="38"/>
      <c r="J29" s="38"/>
      <c r="K29" s="29"/>
      <c r="L29" s="38"/>
      <c r="M29" s="38"/>
      <c r="N29" s="38"/>
      <c r="O29" s="38"/>
      <c r="P29" s="38"/>
      <c r="Q29" s="38"/>
      <c r="R29" s="38"/>
      <c r="S29" s="38"/>
      <c r="T29" s="38"/>
      <c r="U29" s="38"/>
      <c r="V29" s="38"/>
      <c r="W29" s="38"/>
      <c r="X29" s="33">
        <f t="shared" si="0"/>
        <v>0</v>
      </c>
      <c r="Y29" s="34" t="s">
        <v>7</v>
      </c>
      <c r="Z29" s="29">
        <v>100</v>
      </c>
      <c r="AA29" s="38"/>
      <c r="AB29" s="38"/>
      <c r="AC29" s="35"/>
      <c r="AD29" s="36">
        <f>Z29*X29/100</f>
        <v>0</v>
      </c>
      <c r="AE29" s="35"/>
      <c r="AF29" s="31"/>
      <c r="AG29" s="33"/>
      <c r="AH29" s="28">
        <f t="shared" si="3"/>
        <v>0</v>
      </c>
      <c r="AI29" s="39"/>
      <c r="AJ29" s="38"/>
      <c r="AK29" s="38"/>
      <c r="AL29" s="38"/>
      <c r="AM29" s="38"/>
      <c r="AN29" s="38"/>
      <c r="AO29" s="38"/>
      <c r="AP29" s="38"/>
      <c r="AQ29" s="33"/>
    </row>
    <row r="30" spans="1:48" ht="15" customHeight="1" x14ac:dyDescent="0.2">
      <c r="A30" s="31"/>
      <c r="B30" s="32"/>
      <c r="C30" s="32"/>
      <c r="D30" s="32"/>
      <c r="E30" s="32"/>
      <c r="F30" s="32"/>
      <c r="G30" s="32"/>
      <c r="H30" s="38"/>
      <c r="I30" s="38"/>
      <c r="J30" s="38"/>
      <c r="K30" s="38"/>
      <c r="L30" s="38"/>
      <c r="M30" s="38"/>
      <c r="N30" s="38"/>
      <c r="O30" s="38"/>
      <c r="P30" s="38"/>
      <c r="Q30" s="38"/>
      <c r="R30" s="38"/>
      <c r="S30" s="38"/>
      <c r="T30" s="38"/>
      <c r="U30" s="38"/>
      <c r="V30" s="38"/>
      <c r="W30" s="38"/>
      <c r="X30" s="33">
        <f t="shared" si="0"/>
        <v>0</v>
      </c>
      <c r="Y30" s="34" t="s">
        <v>8</v>
      </c>
      <c r="Z30" s="38">
        <v>100</v>
      </c>
      <c r="AA30" s="38"/>
      <c r="AB30" s="38"/>
      <c r="AC30" s="35"/>
      <c r="AD30" s="36">
        <f>Z30*X30/100</f>
        <v>0</v>
      </c>
      <c r="AE30" s="35"/>
      <c r="AF30" s="31"/>
      <c r="AG30" s="33"/>
      <c r="AH30" s="28">
        <f t="shared" si="3"/>
        <v>0</v>
      </c>
      <c r="AI30" s="39"/>
      <c r="AJ30" s="38"/>
      <c r="AK30" s="38"/>
      <c r="AL30" s="38"/>
      <c r="AM30" s="38"/>
      <c r="AN30" s="38"/>
      <c r="AO30" s="38"/>
      <c r="AP30" s="38"/>
      <c r="AQ30" s="33"/>
    </row>
    <row r="31" spans="1:48" s="1" customFormat="1" ht="15" customHeight="1" x14ac:dyDescent="0.2">
      <c r="A31" s="372"/>
      <c r="B31" s="32"/>
      <c r="C31" s="32"/>
      <c r="D31" s="32"/>
      <c r="E31" s="32"/>
      <c r="F31" s="32"/>
      <c r="G31" s="32"/>
      <c r="H31" s="38"/>
      <c r="I31" s="29">
        <f>-(O31+T31)*AA31%</f>
        <v>0</v>
      </c>
      <c r="J31" s="38"/>
      <c r="K31" s="38"/>
      <c r="L31" s="38"/>
      <c r="M31" s="38"/>
      <c r="N31" s="38"/>
      <c r="O31" s="38"/>
      <c r="P31" s="38"/>
      <c r="Q31" s="38"/>
      <c r="R31" s="38"/>
      <c r="S31" s="38"/>
      <c r="T31" s="38"/>
      <c r="U31" s="37"/>
      <c r="V31" s="37"/>
      <c r="W31" s="37"/>
      <c r="X31" s="33">
        <f t="shared" si="0"/>
        <v>0</v>
      </c>
      <c r="Y31" s="27" t="s">
        <v>216</v>
      </c>
      <c r="Z31" s="373"/>
      <c r="AA31" s="37">
        <v>100</v>
      </c>
      <c r="AB31" s="37"/>
      <c r="AC31" s="364"/>
      <c r="AD31" s="354"/>
      <c r="AE31" s="364"/>
      <c r="AF31" s="374"/>
      <c r="AG31" s="375"/>
      <c r="AH31" s="43"/>
      <c r="AI31" s="373"/>
      <c r="AJ31" s="37"/>
      <c r="AK31" s="37"/>
      <c r="AL31" s="37"/>
      <c r="AM31" s="37"/>
      <c r="AN31" s="37"/>
      <c r="AO31" s="37"/>
      <c r="AP31" s="37"/>
      <c r="AQ31" s="375"/>
    </row>
    <row r="32" spans="1:48" ht="15" customHeight="1" x14ac:dyDescent="0.2">
      <c r="A32" s="32"/>
      <c r="B32" s="32"/>
      <c r="C32" s="253"/>
      <c r="D32" s="253"/>
      <c r="E32" s="253"/>
      <c r="F32" s="253"/>
      <c r="G32" s="253"/>
      <c r="H32" s="37"/>
      <c r="I32" s="29"/>
      <c r="J32" s="37"/>
      <c r="K32" s="37"/>
      <c r="L32" s="37"/>
      <c r="M32" s="37"/>
      <c r="N32" s="37"/>
      <c r="O32" s="29"/>
      <c r="P32" s="37"/>
      <c r="Q32" s="37"/>
      <c r="R32" s="37"/>
      <c r="S32" s="37"/>
      <c r="T32" s="29"/>
      <c r="U32" s="37"/>
      <c r="V32" s="37"/>
      <c r="W32" s="37"/>
      <c r="X32" s="33">
        <f t="shared" si="0"/>
        <v>0</v>
      </c>
      <c r="Y32" s="27" t="s">
        <v>215</v>
      </c>
      <c r="Z32" s="366"/>
      <c r="AA32" s="37"/>
      <c r="AB32" s="37"/>
      <c r="AC32" s="364"/>
      <c r="AD32" s="36">
        <f>X32*Z32/100</f>
        <v>0</v>
      </c>
      <c r="AE32" s="35"/>
      <c r="AF32" s="36">
        <f>X32*AB32/100</f>
        <v>0</v>
      </c>
      <c r="AG32" s="35"/>
      <c r="AH32" s="28">
        <f>SUM(AI32:AQ32)</f>
        <v>0</v>
      </c>
      <c r="AI32" s="39"/>
      <c r="AJ32" s="37"/>
      <c r="AK32" s="37"/>
      <c r="AL32" s="37"/>
      <c r="AM32" s="37"/>
      <c r="AN32" s="37"/>
      <c r="AO32" s="37"/>
      <c r="AP32" s="37"/>
      <c r="AQ32" s="33"/>
    </row>
    <row r="33" spans="1:44" ht="15" customHeight="1" x14ac:dyDescent="0.2">
      <c r="A33" s="32"/>
      <c r="B33" s="32"/>
      <c r="C33" s="29"/>
      <c r="D33" s="29"/>
      <c r="E33" s="37"/>
      <c r="F33" s="37"/>
      <c r="G33" s="37"/>
      <c r="H33" s="37"/>
      <c r="I33" s="29"/>
      <c r="J33" s="37"/>
      <c r="K33" s="37"/>
      <c r="L33" s="37"/>
      <c r="M33" s="37"/>
      <c r="N33" s="37"/>
      <c r="O33" s="29"/>
      <c r="P33" s="38"/>
      <c r="Q33" s="29"/>
      <c r="R33" s="29"/>
      <c r="S33" s="29"/>
      <c r="T33" s="29"/>
      <c r="U33" s="37"/>
      <c r="V33" s="37"/>
      <c r="W33" s="37"/>
      <c r="X33" s="33">
        <f t="shared" si="0"/>
        <v>0</v>
      </c>
      <c r="Y33" s="34" t="s">
        <v>39</v>
      </c>
      <c r="Z33" s="366"/>
      <c r="AA33" s="37"/>
      <c r="AB33" s="29"/>
      <c r="AC33" s="35"/>
      <c r="AD33" s="36">
        <f>X33*Z33/100</f>
        <v>0</v>
      </c>
      <c r="AE33" s="35"/>
      <c r="AF33" s="31">
        <f>X33*AB33/100</f>
        <v>0</v>
      </c>
      <c r="AG33" s="33"/>
      <c r="AH33" s="28">
        <f t="shared" si="3"/>
        <v>0</v>
      </c>
      <c r="AI33" s="39"/>
      <c r="AJ33" s="38"/>
      <c r="AK33" s="38"/>
      <c r="AL33" s="38"/>
      <c r="AM33" s="38"/>
      <c r="AN33" s="38"/>
      <c r="AO33" s="38"/>
      <c r="AP33" s="38"/>
      <c r="AQ33" s="33"/>
    </row>
    <row r="34" spans="1:44" ht="15" customHeight="1" x14ac:dyDescent="0.2">
      <c r="A34" s="32"/>
      <c r="B34" s="32"/>
      <c r="C34" s="37"/>
      <c r="D34" s="37"/>
      <c r="E34" s="37"/>
      <c r="F34" s="37"/>
      <c r="G34" s="37"/>
      <c r="H34" s="37"/>
      <c r="I34" s="37"/>
      <c r="J34" s="37"/>
      <c r="K34" s="37"/>
      <c r="L34" s="37"/>
      <c r="M34" s="37"/>
      <c r="N34" s="37"/>
      <c r="O34" s="37"/>
      <c r="P34" s="37"/>
      <c r="Q34" s="37"/>
      <c r="R34" s="37"/>
      <c r="S34" s="37"/>
      <c r="T34" s="37"/>
      <c r="U34" s="37"/>
      <c r="V34" s="37"/>
      <c r="W34" s="37"/>
      <c r="X34" s="33">
        <f t="shared" si="0"/>
        <v>0</v>
      </c>
      <c r="Y34" s="34" t="s">
        <v>40</v>
      </c>
      <c r="Z34" s="354"/>
      <c r="AA34" s="37"/>
      <c r="AB34" s="37"/>
      <c r="AC34" s="35"/>
      <c r="AD34" s="36">
        <f>X34*Z34/100</f>
        <v>0</v>
      </c>
      <c r="AE34" s="35"/>
      <c r="AF34" s="31">
        <f>X34*AB34</f>
        <v>0</v>
      </c>
      <c r="AG34" s="33"/>
      <c r="AH34" s="28">
        <f t="shared" si="3"/>
        <v>0</v>
      </c>
      <c r="AI34" s="39"/>
      <c r="AJ34" s="38"/>
      <c r="AK34" s="38"/>
      <c r="AL34" s="38"/>
      <c r="AM34" s="38"/>
      <c r="AN34" s="38"/>
      <c r="AO34" s="38"/>
      <c r="AP34" s="38"/>
      <c r="AQ34" s="33"/>
    </row>
    <row r="35" spans="1:44" ht="15" customHeight="1" x14ac:dyDescent="0.2">
      <c r="A35" s="32"/>
      <c r="B35" s="32"/>
      <c r="C35" s="37"/>
      <c r="D35" s="37"/>
      <c r="E35" s="376"/>
      <c r="F35" s="37"/>
      <c r="G35" s="37"/>
      <c r="H35" s="37"/>
      <c r="I35" s="37"/>
      <c r="J35" s="37"/>
      <c r="K35" s="37"/>
      <c r="L35" s="37"/>
      <c r="M35" s="37"/>
      <c r="N35" s="37"/>
      <c r="O35" s="37"/>
      <c r="P35" s="37"/>
      <c r="Q35" s="37"/>
      <c r="R35" s="37"/>
      <c r="S35" s="37"/>
      <c r="T35" s="37"/>
      <c r="U35" s="37"/>
      <c r="V35" s="37"/>
      <c r="W35" s="37"/>
      <c r="X35" s="33">
        <f t="shared" si="0"/>
        <v>0</v>
      </c>
      <c r="Y35" s="34" t="s">
        <v>41</v>
      </c>
      <c r="Z35" s="354"/>
      <c r="AA35" s="37"/>
      <c r="AB35" s="37"/>
      <c r="AC35" s="35"/>
      <c r="AD35" s="36">
        <f>X35*Z35/100</f>
        <v>0</v>
      </c>
      <c r="AE35" s="35"/>
      <c r="AF35" s="31">
        <f>X35*AB35</f>
        <v>0</v>
      </c>
      <c r="AG35" s="33"/>
      <c r="AH35" s="28">
        <f t="shared" si="3"/>
        <v>0</v>
      </c>
      <c r="AI35" s="39"/>
      <c r="AJ35" s="38"/>
      <c r="AK35" s="38"/>
      <c r="AL35" s="38"/>
      <c r="AM35" s="38"/>
      <c r="AN35" s="38"/>
      <c r="AO35" s="38"/>
      <c r="AP35" s="38"/>
      <c r="AQ35" s="33"/>
    </row>
    <row r="36" spans="1:44" ht="15" customHeight="1" x14ac:dyDescent="0.2">
      <c r="A36" s="32"/>
      <c r="B36" s="32"/>
      <c r="C36" s="37"/>
      <c r="D36" s="37"/>
      <c r="E36" s="29"/>
      <c r="F36" s="37"/>
      <c r="G36" s="37"/>
      <c r="H36" s="37"/>
      <c r="I36" s="37"/>
      <c r="J36" s="37"/>
      <c r="K36" s="37"/>
      <c r="L36" s="37"/>
      <c r="M36" s="37"/>
      <c r="N36" s="37"/>
      <c r="O36" s="37"/>
      <c r="P36" s="29"/>
      <c r="Q36" s="37"/>
      <c r="R36" s="37"/>
      <c r="S36" s="37"/>
      <c r="T36" s="37"/>
      <c r="U36" s="37"/>
      <c r="V36" s="37"/>
      <c r="W36" s="37"/>
      <c r="X36" s="33">
        <f t="shared" si="0"/>
        <v>0</v>
      </c>
      <c r="Y36" s="34" t="s">
        <v>42</v>
      </c>
      <c r="Z36" s="354"/>
      <c r="AA36" s="37"/>
      <c r="AB36" s="29"/>
      <c r="AC36" s="35"/>
      <c r="AD36" s="36"/>
      <c r="AE36" s="35"/>
      <c r="AF36" s="31">
        <f>X36*AB36/100</f>
        <v>0</v>
      </c>
      <c r="AG36" s="33"/>
      <c r="AH36" s="28">
        <f t="shared" si="3"/>
        <v>0</v>
      </c>
      <c r="AI36" s="39"/>
      <c r="AJ36" s="38"/>
      <c r="AK36" s="38"/>
      <c r="AL36" s="38"/>
      <c r="AM36" s="38"/>
      <c r="AN36" s="38"/>
      <c r="AO36" s="38"/>
      <c r="AP36" s="38"/>
      <c r="AQ36" s="33"/>
    </row>
    <row r="37" spans="1:44" s="1" customFormat="1" ht="15" customHeight="1" x14ac:dyDescent="0.2">
      <c r="A37" s="253"/>
      <c r="B37" s="253"/>
      <c r="C37" s="253"/>
      <c r="D37" s="37"/>
      <c r="E37" s="37"/>
      <c r="F37" s="37"/>
      <c r="G37" s="37"/>
      <c r="H37" s="37"/>
      <c r="I37" s="37"/>
      <c r="J37" s="37"/>
      <c r="K37" s="37"/>
      <c r="L37" s="37"/>
      <c r="M37" s="37"/>
      <c r="N37" s="29">
        <f>AF37-AE37</f>
        <v>0</v>
      </c>
      <c r="O37" s="37"/>
      <c r="P37" s="37"/>
      <c r="Q37" s="37"/>
      <c r="R37" s="37"/>
      <c r="S37" s="37"/>
      <c r="T37" s="37"/>
      <c r="U37" s="37"/>
      <c r="V37" s="37"/>
      <c r="W37" s="37"/>
      <c r="X37" s="33">
        <f t="shared" si="0"/>
        <v>0</v>
      </c>
      <c r="Y37" s="27" t="s">
        <v>213</v>
      </c>
      <c r="Z37" s="36"/>
      <c r="AA37" s="38"/>
      <c r="AB37" s="38"/>
      <c r="AC37" s="35"/>
      <c r="AD37" s="354">
        <f>-AE37/$D$2%</f>
        <v>0</v>
      </c>
      <c r="AE37" s="44"/>
      <c r="AF37" s="45">
        <f>AE37*AB37%</f>
        <v>0</v>
      </c>
      <c r="AG37" s="375"/>
      <c r="AH37" s="43"/>
      <c r="AI37" s="373"/>
      <c r="AJ37" s="373"/>
      <c r="AK37" s="37"/>
      <c r="AL37" s="37"/>
      <c r="AM37" s="37"/>
      <c r="AN37" s="37"/>
      <c r="AO37" s="37"/>
      <c r="AP37" s="37"/>
      <c r="AQ37" s="375"/>
    </row>
    <row r="38" spans="1:44" ht="15" customHeight="1" x14ac:dyDescent="0.2">
      <c r="A38" s="253"/>
      <c r="B38" s="253"/>
      <c r="C38" s="253"/>
      <c r="D38" s="37"/>
      <c r="E38" s="37"/>
      <c r="F38" s="37"/>
      <c r="G38" s="37"/>
      <c r="H38" s="37"/>
      <c r="I38" s="37"/>
      <c r="J38" s="37"/>
      <c r="K38" s="37"/>
      <c r="L38" s="37"/>
      <c r="M38" s="37"/>
      <c r="N38" s="37"/>
      <c r="O38" s="37"/>
      <c r="P38" s="37"/>
      <c r="Q38" s="37"/>
      <c r="R38" s="37"/>
      <c r="S38" s="37"/>
      <c r="T38" s="37"/>
      <c r="U38" s="37"/>
      <c r="V38" s="37"/>
      <c r="W38" s="37"/>
      <c r="X38" s="33">
        <f t="shared" si="0"/>
        <v>0</v>
      </c>
      <c r="Y38" s="27" t="s">
        <v>214</v>
      </c>
      <c r="Z38" s="36"/>
      <c r="AA38" s="38"/>
      <c r="AB38" s="38"/>
      <c r="AC38" s="35"/>
      <c r="AD38" s="354">
        <f>-AE38/$D$2%</f>
        <v>0</v>
      </c>
      <c r="AE38" s="35"/>
      <c r="AF38" s="36">
        <f>AE38*AB38%</f>
        <v>0</v>
      </c>
      <c r="AG38" s="375"/>
      <c r="AH38" s="43"/>
      <c r="AI38" s="373"/>
      <c r="AJ38" s="373"/>
      <c r="AK38" s="37"/>
      <c r="AL38" s="37"/>
      <c r="AM38" s="37"/>
      <c r="AN38" s="37"/>
      <c r="AO38" s="37"/>
      <c r="AP38" s="37"/>
      <c r="AQ38" s="375"/>
    </row>
    <row r="39" spans="1:44" ht="15" customHeight="1" x14ac:dyDescent="0.2">
      <c r="A39" s="32"/>
      <c r="B39" s="32"/>
      <c r="C39" s="37"/>
      <c r="D39" s="37"/>
      <c r="E39" s="37"/>
      <c r="F39" s="37"/>
      <c r="G39" s="37"/>
      <c r="H39" s="37"/>
      <c r="I39" s="37"/>
      <c r="J39" s="37"/>
      <c r="K39" s="37"/>
      <c r="L39" s="37"/>
      <c r="M39" s="37"/>
      <c r="N39" s="37"/>
      <c r="O39" s="37"/>
      <c r="P39" s="37"/>
      <c r="Q39" s="37"/>
      <c r="R39" s="37"/>
      <c r="S39" s="37"/>
      <c r="T39" s="37"/>
      <c r="U39" s="37"/>
      <c r="V39" s="37"/>
      <c r="W39" s="37"/>
      <c r="X39" s="33">
        <f t="shared" si="0"/>
        <v>0</v>
      </c>
      <c r="Y39" s="34" t="s">
        <v>63</v>
      </c>
      <c r="Z39" s="354"/>
      <c r="AA39" s="37"/>
      <c r="AB39" s="37"/>
      <c r="AC39" s="365">
        <v>75</v>
      </c>
      <c r="AD39" s="36"/>
      <c r="AE39" s="35"/>
      <c r="AF39" s="31">
        <f>-SUM(AF33:AF38)</f>
        <v>0</v>
      </c>
      <c r="AG39" s="33">
        <f>-AF39*AC39/100</f>
        <v>0</v>
      </c>
      <c r="AH39" s="28">
        <f>SUM(AI39:AQ39)</f>
        <v>0</v>
      </c>
      <c r="AI39" s="30">
        <f>AG39*65.2%</f>
        <v>0</v>
      </c>
      <c r="AJ39" s="30">
        <f>AG39*9.9%</f>
        <v>0</v>
      </c>
      <c r="AK39" s="29">
        <f>AG39*13.3%</f>
        <v>0</v>
      </c>
      <c r="AL39" s="29">
        <f>AG39*7%</f>
        <v>0</v>
      </c>
      <c r="AM39" s="29">
        <f>AG39*0%</f>
        <v>0</v>
      </c>
      <c r="AN39" s="29">
        <f>AG39*3.2%</f>
        <v>0</v>
      </c>
      <c r="AO39" s="29">
        <f>AG39*1.5%</f>
        <v>0</v>
      </c>
      <c r="AP39" s="29"/>
      <c r="AQ39" s="33"/>
      <c r="AR39" s="178"/>
    </row>
    <row r="40" spans="1:44" ht="15" customHeight="1" x14ac:dyDescent="0.2">
      <c r="A40" s="32"/>
      <c r="B40" s="32"/>
      <c r="C40" s="37"/>
      <c r="D40" s="37"/>
      <c r="E40" s="29"/>
      <c r="F40" s="37"/>
      <c r="G40" s="37"/>
      <c r="H40" s="37"/>
      <c r="I40" s="37"/>
      <c r="J40" s="37"/>
      <c r="K40" s="37"/>
      <c r="L40" s="37"/>
      <c r="M40" s="37"/>
      <c r="N40" s="37"/>
      <c r="O40" s="29"/>
      <c r="P40" s="37"/>
      <c r="Q40" s="29"/>
      <c r="R40" s="377"/>
      <c r="S40" s="29"/>
      <c r="T40" s="29"/>
      <c r="U40" s="29"/>
      <c r="V40" s="37"/>
      <c r="W40" s="29"/>
      <c r="X40" s="33">
        <f t="shared" si="0"/>
        <v>0</v>
      </c>
      <c r="Y40" s="34" t="s">
        <v>13</v>
      </c>
      <c r="Z40" s="366"/>
      <c r="AA40" s="37"/>
      <c r="AB40" s="29"/>
      <c r="AC40" s="364"/>
      <c r="AD40" s="36">
        <f>X40*Z40/100</f>
        <v>0</v>
      </c>
      <c r="AE40" s="35"/>
      <c r="AF40" s="31">
        <f>X40*AB40/100</f>
        <v>0</v>
      </c>
      <c r="AG40" s="33"/>
      <c r="AH40" s="28">
        <f t="shared" si="3"/>
        <v>0</v>
      </c>
      <c r="AI40" s="373"/>
      <c r="AJ40" s="37"/>
      <c r="AK40" s="37"/>
      <c r="AL40" s="37"/>
      <c r="AM40" s="37"/>
      <c r="AN40" s="37"/>
      <c r="AO40" s="37"/>
      <c r="AP40" s="38"/>
      <c r="AQ40" s="33"/>
    </row>
    <row r="41" spans="1:44" ht="15" customHeight="1" x14ac:dyDescent="0.2">
      <c r="A41" s="32"/>
      <c r="B41" s="32"/>
      <c r="C41" s="37"/>
      <c r="D41" s="37"/>
      <c r="E41" s="29"/>
      <c r="F41" s="37"/>
      <c r="G41" s="37"/>
      <c r="H41" s="37"/>
      <c r="I41" s="37"/>
      <c r="J41" s="37"/>
      <c r="K41" s="37"/>
      <c r="L41" s="37"/>
      <c r="M41" s="37"/>
      <c r="N41" s="37"/>
      <c r="O41" s="37"/>
      <c r="P41" s="37"/>
      <c r="Q41" s="37"/>
      <c r="R41" s="37"/>
      <c r="S41" s="29"/>
      <c r="T41" s="37"/>
      <c r="U41" s="29"/>
      <c r="V41" s="37"/>
      <c r="W41" s="29"/>
      <c r="X41" s="33">
        <f t="shared" si="0"/>
        <v>0</v>
      </c>
      <c r="Y41" s="34" t="s">
        <v>14</v>
      </c>
      <c r="Z41" s="354"/>
      <c r="AA41" s="37"/>
      <c r="AB41" s="29"/>
      <c r="AC41" s="364"/>
      <c r="AD41" s="36">
        <f>X41*Z41/100</f>
        <v>0</v>
      </c>
      <c r="AE41" s="35"/>
      <c r="AF41" s="31">
        <f>X41*AB41/100</f>
        <v>0</v>
      </c>
      <c r="AG41" s="33"/>
      <c r="AH41" s="28">
        <f t="shared" si="3"/>
        <v>0</v>
      </c>
      <c r="AI41" s="373"/>
      <c r="AJ41" s="37"/>
      <c r="AK41" s="37"/>
      <c r="AL41" s="37"/>
      <c r="AM41" s="37"/>
      <c r="AN41" s="37"/>
      <c r="AO41" s="37"/>
      <c r="AP41" s="38"/>
      <c r="AQ41" s="33"/>
    </row>
    <row r="42" spans="1:44" ht="15" customHeight="1" x14ac:dyDescent="0.2">
      <c r="A42" s="32"/>
      <c r="B42" s="38"/>
      <c r="C42" s="37"/>
      <c r="D42" s="37"/>
      <c r="E42" s="37"/>
      <c r="F42" s="37"/>
      <c r="G42" s="37"/>
      <c r="H42" s="37"/>
      <c r="I42" s="37"/>
      <c r="J42" s="37"/>
      <c r="K42" s="37"/>
      <c r="L42" s="37"/>
      <c r="M42" s="37"/>
      <c r="N42" s="37"/>
      <c r="O42" s="37"/>
      <c r="P42" s="37"/>
      <c r="Q42" s="37"/>
      <c r="R42" s="37"/>
      <c r="S42" s="37"/>
      <c r="T42" s="37"/>
      <c r="U42" s="29"/>
      <c r="V42" s="37"/>
      <c r="W42" s="29"/>
      <c r="X42" s="33">
        <f t="shared" si="0"/>
        <v>0</v>
      </c>
      <c r="Y42" s="34" t="s">
        <v>15</v>
      </c>
      <c r="Z42" s="354"/>
      <c r="AA42" s="37"/>
      <c r="AB42" s="37"/>
      <c r="AC42" s="364"/>
      <c r="AD42" s="36">
        <f>X42*Z42/100</f>
        <v>0</v>
      </c>
      <c r="AE42" s="35"/>
      <c r="AF42" s="31">
        <f>X42*AB42/100</f>
        <v>0</v>
      </c>
      <c r="AG42" s="33"/>
      <c r="AH42" s="28">
        <f t="shared" si="3"/>
        <v>0</v>
      </c>
      <c r="AI42" s="373"/>
      <c r="AJ42" s="37"/>
      <c r="AK42" s="37"/>
      <c r="AL42" s="37"/>
      <c r="AM42" s="37"/>
      <c r="AN42" s="37"/>
      <c r="AO42" s="37"/>
      <c r="AP42" s="38"/>
      <c r="AQ42" s="33"/>
    </row>
    <row r="43" spans="1:44" ht="15" customHeight="1" x14ac:dyDescent="0.2">
      <c r="A43" s="32"/>
      <c r="B43" s="32"/>
      <c r="C43" s="37"/>
      <c r="D43" s="37"/>
      <c r="E43" s="37"/>
      <c r="F43" s="37"/>
      <c r="G43" s="37"/>
      <c r="H43" s="37"/>
      <c r="I43" s="37"/>
      <c r="J43" s="37"/>
      <c r="K43" s="37"/>
      <c r="L43" s="37"/>
      <c r="M43" s="37"/>
      <c r="N43" s="37"/>
      <c r="O43" s="37"/>
      <c r="P43" s="37"/>
      <c r="Q43" s="37"/>
      <c r="R43" s="37"/>
      <c r="S43" s="37"/>
      <c r="T43" s="37"/>
      <c r="U43" s="37"/>
      <c r="V43" s="37"/>
      <c r="W43" s="37"/>
      <c r="X43" s="33">
        <f t="shared" si="0"/>
        <v>0</v>
      </c>
      <c r="Y43" s="34" t="s">
        <v>64</v>
      </c>
      <c r="Z43" s="354"/>
      <c r="AA43" s="37"/>
      <c r="AB43" s="37"/>
      <c r="AC43" s="365">
        <v>75</v>
      </c>
      <c r="AD43" s="36"/>
      <c r="AE43" s="35"/>
      <c r="AF43" s="31">
        <f>-SUM(AF40:AF42)</f>
        <v>0</v>
      </c>
      <c r="AG43" s="33">
        <f>-AF43*AC43/100</f>
        <v>0</v>
      </c>
      <c r="AH43" s="28">
        <f t="shared" si="3"/>
        <v>0</v>
      </c>
      <c r="AI43" s="30">
        <f>AG43*65.2%</f>
        <v>0</v>
      </c>
      <c r="AJ43" s="30">
        <f>AG43*9.9%</f>
        <v>0</v>
      </c>
      <c r="AK43" s="29">
        <f>AG43*13.3%</f>
        <v>0</v>
      </c>
      <c r="AL43" s="29">
        <f>AG43*7%</f>
        <v>0</v>
      </c>
      <c r="AM43" s="29">
        <f>AG43*0%</f>
        <v>0</v>
      </c>
      <c r="AN43" s="29">
        <f>AG43*3.2%</f>
        <v>0</v>
      </c>
      <c r="AO43" s="29">
        <f>AG43*1.5%</f>
        <v>0</v>
      </c>
      <c r="AP43" s="29"/>
      <c r="AQ43" s="33"/>
    </row>
    <row r="44" spans="1:44" ht="15" customHeight="1" x14ac:dyDescent="0.2">
      <c r="A44" s="32"/>
      <c r="B44" s="29"/>
      <c r="C44" s="378"/>
      <c r="D44" s="37"/>
      <c r="E44" s="378"/>
      <c r="F44" s="37"/>
      <c r="G44" s="37"/>
      <c r="H44" s="37"/>
      <c r="I44" s="29"/>
      <c r="J44" s="37"/>
      <c r="K44" s="37"/>
      <c r="L44" s="37"/>
      <c r="M44" s="37"/>
      <c r="N44" s="37"/>
      <c r="O44" s="29"/>
      <c r="P44" s="37"/>
      <c r="Q44" s="378"/>
      <c r="R44" s="29"/>
      <c r="S44" s="29"/>
      <c r="T44" s="29"/>
      <c r="U44" s="29"/>
      <c r="V44" s="37"/>
      <c r="W44" s="29"/>
      <c r="X44" s="33">
        <f t="shared" si="0"/>
        <v>0</v>
      </c>
      <c r="Y44" s="34" t="s">
        <v>43</v>
      </c>
      <c r="Z44" s="366"/>
      <c r="AA44" s="37"/>
      <c r="AB44" s="29"/>
      <c r="AC44" s="364"/>
      <c r="AD44" s="31">
        <f>X44*Z44/100</f>
        <v>0</v>
      </c>
      <c r="AE44" s="33"/>
      <c r="AF44" s="31">
        <f t="shared" ref="AF44:AF51" si="5">X44*AB44/100</f>
        <v>0</v>
      </c>
      <c r="AG44" s="33"/>
      <c r="AH44" s="28">
        <f t="shared" si="3"/>
        <v>0</v>
      </c>
      <c r="AI44" s="39"/>
      <c r="AJ44" s="38"/>
      <c r="AK44" s="38"/>
      <c r="AL44" s="38"/>
      <c r="AM44" s="38"/>
      <c r="AN44" s="38"/>
      <c r="AO44" s="38"/>
      <c r="AP44" s="38"/>
      <c r="AQ44" s="33"/>
    </row>
    <row r="45" spans="1:44" ht="15" customHeight="1" x14ac:dyDescent="0.2">
      <c r="A45" s="32"/>
      <c r="B45" s="38"/>
      <c r="C45" s="37"/>
      <c r="D45" s="37"/>
      <c r="E45" s="37"/>
      <c r="F45" s="37"/>
      <c r="G45" s="37"/>
      <c r="H45" s="37"/>
      <c r="I45" s="29"/>
      <c r="J45" s="37"/>
      <c r="K45" s="37"/>
      <c r="L45" s="37"/>
      <c r="M45" s="37"/>
      <c r="N45" s="37"/>
      <c r="O45" s="29"/>
      <c r="P45" s="37"/>
      <c r="Q45" s="37"/>
      <c r="R45" s="37"/>
      <c r="S45" s="29"/>
      <c r="T45" s="29"/>
      <c r="U45" s="37"/>
      <c r="V45" s="37"/>
      <c r="W45" s="37"/>
      <c r="X45" s="33">
        <f t="shared" si="0"/>
        <v>0</v>
      </c>
      <c r="Y45" s="34" t="s">
        <v>44</v>
      </c>
      <c r="Z45" s="366"/>
      <c r="AA45" s="37"/>
      <c r="AB45" s="29"/>
      <c r="AC45" s="364"/>
      <c r="AD45" s="31">
        <f>X45*Z45/100</f>
        <v>0</v>
      </c>
      <c r="AE45" s="33"/>
      <c r="AF45" s="31">
        <f t="shared" si="5"/>
        <v>0</v>
      </c>
      <c r="AG45" s="33"/>
      <c r="AH45" s="28">
        <f t="shared" si="3"/>
        <v>0</v>
      </c>
      <c r="AI45" s="39"/>
      <c r="AJ45" s="38"/>
      <c r="AK45" s="38"/>
      <c r="AL45" s="38"/>
      <c r="AM45" s="38"/>
      <c r="AN45" s="38"/>
      <c r="AO45" s="38"/>
      <c r="AP45" s="38"/>
      <c r="AQ45" s="33"/>
    </row>
    <row r="46" spans="1:44" ht="15" customHeight="1" x14ac:dyDescent="0.2">
      <c r="A46" s="32"/>
      <c r="B46" s="32"/>
      <c r="C46" s="37"/>
      <c r="D46" s="37"/>
      <c r="E46" s="37"/>
      <c r="F46" s="37"/>
      <c r="G46" s="37"/>
      <c r="H46" s="37"/>
      <c r="I46" s="29"/>
      <c r="J46" s="37"/>
      <c r="K46" s="37"/>
      <c r="L46" s="37"/>
      <c r="M46" s="37"/>
      <c r="N46" s="37"/>
      <c r="O46" s="37"/>
      <c r="P46" s="37"/>
      <c r="Q46" s="37"/>
      <c r="R46" s="37"/>
      <c r="S46" s="377"/>
      <c r="T46" s="37"/>
      <c r="U46" s="37"/>
      <c r="V46" s="37"/>
      <c r="W46" s="37"/>
      <c r="X46" s="33">
        <f t="shared" si="0"/>
        <v>0</v>
      </c>
      <c r="Y46" s="34" t="s">
        <v>29</v>
      </c>
      <c r="Z46" s="366"/>
      <c r="AA46" s="37"/>
      <c r="AB46" s="29"/>
      <c r="AC46" s="364"/>
      <c r="AD46" s="31">
        <f>X46*Z46/100</f>
        <v>0</v>
      </c>
      <c r="AE46" s="33"/>
      <c r="AF46" s="31">
        <f t="shared" si="5"/>
        <v>0</v>
      </c>
      <c r="AG46" s="33"/>
      <c r="AH46" s="28">
        <f t="shared" si="3"/>
        <v>0</v>
      </c>
      <c r="AI46" s="39"/>
      <c r="AJ46" s="38"/>
      <c r="AK46" s="38"/>
      <c r="AL46" s="38"/>
      <c r="AM46" s="38"/>
      <c r="AN46" s="38"/>
      <c r="AO46" s="38"/>
      <c r="AP46" s="38"/>
      <c r="AQ46" s="33"/>
    </row>
    <row r="47" spans="1:44" ht="15" customHeight="1" x14ac:dyDescent="0.2">
      <c r="A47" s="32"/>
      <c r="B47" s="32"/>
      <c r="C47" s="37"/>
      <c r="D47" s="29"/>
      <c r="E47" s="29"/>
      <c r="F47" s="37"/>
      <c r="G47" s="37"/>
      <c r="H47" s="37"/>
      <c r="I47" s="29"/>
      <c r="J47" s="37"/>
      <c r="K47" s="37"/>
      <c r="L47" s="37"/>
      <c r="M47" s="37"/>
      <c r="N47" s="37"/>
      <c r="O47" s="29"/>
      <c r="P47" s="29"/>
      <c r="Q47" s="29"/>
      <c r="R47" s="29"/>
      <c r="S47" s="29"/>
      <c r="T47" s="29"/>
      <c r="U47" s="37"/>
      <c r="V47" s="37"/>
      <c r="W47" s="37"/>
      <c r="X47" s="33">
        <f t="shared" si="0"/>
        <v>0</v>
      </c>
      <c r="Y47" s="34" t="s">
        <v>30</v>
      </c>
      <c r="Z47" s="354"/>
      <c r="AA47" s="37"/>
      <c r="AB47" s="29"/>
      <c r="AC47" s="364"/>
      <c r="AD47" s="31">
        <f>X47*Z47/100</f>
        <v>0</v>
      </c>
      <c r="AE47" s="33"/>
      <c r="AF47" s="31">
        <f t="shared" si="5"/>
        <v>0</v>
      </c>
      <c r="AG47" s="33"/>
      <c r="AH47" s="28">
        <f t="shared" si="3"/>
        <v>0</v>
      </c>
      <c r="AI47" s="39"/>
      <c r="AJ47" s="38"/>
      <c r="AK47" s="38"/>
      <c r="AL47" s="38"/>
      <c r="AM47" s="38"/>
      <c r="AN47" s="38"/>
      <c r="AO47" s="38"/>
      <c r="AP47" s="38"/>
      <c r="AQ47" s="33"/>
    </row>
    <row r="48" spans="1:44" s="1" customFormat="1" ht="15" customHeight="1" x14ac:dyDescent="0.2">
      <c r="A48" s="253"/>
      <c r="B48" s="253"/>
      <c r="C48" s="253"/>
      <c r="D48" s="253"/>
      <c r="E48" s="253"/>
      <c r="F48" s="253"/>
      <c r="G48" s="253"/>
      <c r="H48" s="253"/>
      <c r="I48" s="37"/>
      <c r="J48" s="37"/>
      <c r="K48" s="253"/>
      <c r="L48" s="253"/>
      <c r="M48" s="253"/>
      <c r="N48" s="29">
        <f>AF48-AE48</f>
        <v>0</v>
      </c>
      <c r="O48" s="37"/>
      <c r="P48" s="37"/>
      <c r="Q48" s="37"/>
      <c r="R48" s="37"/>
      <c r="S48" s="37"/>
      <c r="T48" s="37"/>
      <c r="U48" s="37"/>
      <c r="V48" s="37"/>
      <c r="W48" s="37"/>
      <c r="X48" s="33">
        <f t="shared" si="0"/>
        <v>0</v>
      </c>
      <c r="Y48" s="34" t="s">
        <v>116</v>
      </c>
      <c r="Z48" s="36"/>
      <c r="AA48" s="38"/>
      <c r="AB48" s="29"/>
      <c r="AC48" s="35"/>
      <c r="AD48" s="354">
        <f>-AE48/$D$2%</f>
        <v>0</v>
      </c>
      <c r="AE48" s="379"/>
      <c r="AF48" s="45">
        <f>AE48*AB48%</f>
        <v>0</v>
      </c>
      <c r="AG48" s="364"/>
      <c r="AH48" s="43"/>
      <c r="AI48" s="373"/>
      <c r="AJ48" s="37"/>
      <c r="AK48" s="37"/>
      <c r="AL48" s="37"/>
      <c r="AM48" s="37"/>
      <c r="AN48" s="37"/>
      <c r="AO48" s="37"/>
      <c r="AP48" s="37"/>
      <c r="AQ48" s="375"/>
    </row>
    <row r="49" spans="1:43" s="1" customFormat="1" ht="15" customHeight="1" x14ac:dyDescent="0.2">
      <c r="A49" s="253"/>
      <c r="B49" s="253"/>
      <c r="C49" s="253"/>
      <c r="D49" s="253"/>
      <c r="E49" s="253"/>
      <c r="F49" s="253"/>
      <c r="G49" s="253"/>
      <c r="H49" s="253"/>
      <c r="I49" s="37"/>
      <c r="J49" s="37"/>
      <c r="K49" s="253"/>
      <c r="L49" s="253"/>
      <c r="M49" s="253"/>
      <c r="N49" s="38"/>
      <c r="O49" s="37"/>
      <c r="P49" s="37"/>
      <c r="Q49" s="37"/>
      <c r="R49" s="37"/>
      <c r="S49" s="37"/>
      <c r="T49" s="37"/>
      <c r="U49" s="37"/>
      <c r="V49" s="37"/>
      <c r="W49" s="37"/>
      <c r="X49" s="33"/>
      <c r="Y49" s="34" t="s">
        <v>117</v>
      </c>
      <c r="Z49" s="36"/>
      <c r="AA49" s="38"/>
      <c r="AB49" s="29"/>
      <c r="AC49" s="35"/>
      <c r="AD49" s="354">
        <f>-AE49/$D$2%</f>
        <v>0</v>
      </c>
      <c r="AE49" s="365"/>
      <c r="AF49" s="354">
        <f>AE49*AB49%</f>
        <v>0</v>
      </c>
      <c r="AG49" s="364"/>
      <c r="AH49" s="43"/>
      <c r="AI49" s="373"/>
      <c r="AJ49" s="37"/>
      <c r="AK49" s="37"/>
      <c r="AL49" s="37"/>
      <c r="AM49" s="37"/>
      <c r="AN49" s="37"/>
      <c r="AO49" s="37"/>
      <c r="AP49" s="37"/>
      <c r="AQ49" s="375"/>
    </row>
    <row r="50" spans="1:43" ht="15" customHeight="1" x14ac:dyDescent="0.2">
      <c r="A50" s="32"/>
      <c r="B50" s="32"/>
      <c r="C50" s="253"/>
      <c r="D50" s="253"/>
      <c r="E50" s="253"/>
      <c r="F50" s="253"/>
      <c r="G50" s="253"/>
      <c r="H50" s="253"/>
      <c r="I50" s="253"/>
      <c r="J50" s="253"/>
      <c r="K50" s="253"/>
      <c r="L50" s="397"/>
      <c r="M50" s="253"/>
      <c r="N50" s="37"/>
      <c r="O50" s="37"/>
      <c r="P50" s="37"/>
      <c r="Q50" s="37"/>
      <c r="R50" s="37"/>
      <c r="S50" s="37"/>
      <c r="T50" s="37"/>
      <c r="U50" s="37"/>
      <c r="V50" s="37"/>
      <c r="W50" s="37"/>
      <c r="X50" s="33">
        <f t="shared" ref="X50:X59" si="6">SUM(A50:W50)</f>
        <v>0</v>
      </c>
      <c r="Y50" s="179" t="s">
        <v>36</v>
      </c>
      <c r="Z50" s="354"/>
      <c r="AA50" s="37"/>
      <c r="AB50" s="29"/>
      <c r="AC50" s="364"/>
      <c r="AD50" s="31"/>
      <c r="AE50" s="33"/>
      <c r="AF50" s="31">
        <f t="shared" si="5"/>
        <v>0</v>
      </c>
      <c r="AG50" s="33"/>
      <c r="AH50" s="28">
        <f t="shared" si="3"/>
        <v>0</v>
      </c>
      <c r="AI50" s="39"/>
      <c r="AJ50" s="38"/>
      <c r="AK50" s="38"/>
      <c r="AL50" s="38"/>
      <c r="AM50" s="38"/>
      <c r="AN50" s="38"/>
      <c r="AO50" s="38"/>
      <c r="AP50" s="38"/>
      <c r="AQ50" s="33"/>
    </row>
    <row r="51" spans="1:43" ht="15" customHeight="1" x14ac:dyDescent="0.2">
      <c r="A51" s="38"/>
      <c r="B51" s="29"/>
      <c r="C51" s="37"/>
      <c r="D51" s="37"/>
      <c r="E51" s="29"/>
      <c r="F51" s="37"/>
      <c r="G51" s="37"/>
      <c r="H51" s="37"/>
      <c r="I51" s="29"/>
      <c r="J51" s="37"/>
      <c r="K51" s="37"/>
      <c r="L51" s="37"/>
      <c r="M51" s="37"/>
      <c r="N51" s="37"/>
      <c r="O51" s="37"/>
      <c r="P51" s="37"/>
      <c r="Q51" s="37"/>
      <c r="R51" s="29"/>
      <c r="S51" s="29"/>
      <c r="T51" s="37"/>
      <c r="U51" s="29"/>
      <c r="V51" s="37"/>
      <c r="W51" s="29"/>
      <c r="X51" s="33">
        <f t="shared" si="6"/>
        <v>0</v>
      </c>
      <c r="Y51" s="34" t="s">
        <v>31</v>
      </c>
      <c r="Z51" s="366"/>
      <c r="AA51" s="37"/>
      <c r="AB51" s="29"/>
      <c r="AC51" s="364"/>
      <c r="AD51" s="31">
        <f>X51*Z51/100</f>
        <v>0</v>
      </c>
      <c r="AE51" s="33"/>
      <c r="AF51" s="31">
        <f t="shared" si="5"/>
        <v>0</v>
      </c>
      <c r="AG51" s="33"/>
      <c r="AH51" s="28">
        <f t="shared" si="3"/>
        <v>0</v>
      </c>
      <c r="AI51" s="39"/>
      <c r="AJ51" s="38"/>
      <c r="AK51" s="38"/>
      <c r="AL51" s="38"/>
      <c r="AM51" s="38"/>
      <c r="AN51" s="38"/>
      <c r="AO51" s="38"/>
      <c r="AP51" s="38"/>
      <c r="AQ51" s="33"/>
    </row>
    <row r="52" spans="1:43" ht="15" customHeight="1" x14ac:dyDescent="0.2">
      <c r="A52" s="32"/>
      <c r="B52" s="32"/>
      <c r="C52" s="253"/>
      <c r="D52" s="253"/>
      <c r="E52" s="253"/>
      <c r="F52" s="253"/>
      <c r="G52" s="253"/>
      <c r="H52" s="253"/>
      <c r="I52" s="253"/>
      <c r="J52" s="253"/>
      <c r="K52" s="253"/>
      <c r="L52" s="253"/>
      <c r="M52" s="253"/>
      <c r="N52" s="37"/>
      <c r="O52" s="37"/>
      <c r="P52" s="37"/>
      <c r="Q52" s="37"/>
      <c r="R52" s="37"/>
      <c r="S52" s="37"/>
      <c r="T52" s="37"/>
      <c r="U52" s="37"/>
      <c r="V52" s="37"/>
      <c r="W52" s="37"/>
      <c r="X52" s="33">
        <f t="shared" si="6"/>
        <v>0</v>
      </c>
      <c r="Y52" s="34" t="s">
        <v>65</v>
      </c>
      <c r="Z52" s="354"/>
      <c r="AA52" s="37"/>
      <c r="AB52" s="37"/>
      <c r="AC52" s="365">
        <v>75</v>
      </c>
      <c r="AD52" s="36"/>
      <c r="AE52" s="35"/>
      <c r="AF52" s="36">
        <f>-SUM(AF44:AF51)</f>
        <v>0</v>
      </c>
      <c r="AG52" s="35">
        <f>-AF52*AC52/100</f>
        <v>0</v>
      </c>
      <c r="AH52" s="28">
        <f t="shared" si="3"/>
        <v>0</v>
      </c>
      <c r="AI52" s="30">
        <f>AG52*65.2%</f>
        <v>0</v>
      </c>
      <c r="AJ52" s="30">
        <f>AG52*9.9%</f>
        <v>0</v>
      </c>
      <c r="AK52" s="29">
        <f>AG52*13.3%</f>
        <v>0</v>
      </c>
      <c r="AL52" s="29">
        <f>AG52*7%</f>
        <v>0</v>
      </c>
      <c r="AM52" s="29">
        <f>AG52*0%</f>
        <v>0</v>
      </c>
      <c r="AN52" s="29">
        <f>AG52*3.2%</f>
        <v>0</v>
      </c>
      <c r="AO52" s="29">
        <f>AG52*1.5%</f>
        <v>0</v>
      </c>
      <c r="AP52" s="29"/>
      <c r="AQ52" s="33"/>
    </row>
    <row r="53" spans="1:43" ht="15" customHeight="1" x14ac:dyDescent="0.2">
      <c r="A53" s="32"/>
      <c r="B53" s="32"/>
      <c r="C53" s="253"/>
      <c r="D53" s="253"/>
      <c r="E53" s="29"/>
      <c r="F53" s="253"/>
      <c r="G53" s="253"/>
      <c r="H53" s="253"/>
      <c r="I53" s="29"/>
      <c r="J53" s="37"/>
      <c r="K53" s="37"/>
      <c r="L53" s="37"/>
      <c r="M53" s="37"/>
      <c r="N53" s="37"/>
      <c r="O53" s="29"/>
      <c r="P53" s="37"/>
      <c r="Q53" s="37"/>
      <c r="R53" s="37"/>
      <c r="S53" s="37"/>
      <c r="T53" s="29"/>
      <c r="U53" s="37"/>
      <c r="V53" s="29"/>
      <c r="W53" s="37"/>
      <c r="X53" s="33">
        <f t="shared" si="6"/>
        <v>0</v>
      </c>
      <c r="Y53" s="34" t="s">
        <v>16</v>
      </c>
      <c r="Z53" s="366"/>
      <c r="AA53" s="37"/>
      <c r="AB53" s="29"/>
      <c r="AC53" s="364"/>
      <c r="AD53" s="36">
        <f>X53*Z53/100</f>
        <v>0</v>
      </c>
      <c r="AE53" s="35"/>
      <c r="AF53" s="36">
        <f>X53*AB53/100</f>
        <v>0</v>
      </c>
      <c r="AG53" s="35"/>
      <c r="AH53" s="28">
        <f t="shared" ref="AH53:AH80" si="7">SUM(AI53:AQ53)</f>
        <v>0</v>
      </c>
      <c r="AI53" s="39"/>
      <c r="AJ53" s="37"/>
      <c r="AK53" s="37"/>
      <c r="AL53" s="37"/>
      <c r="AM53" s="37"/>
      <c r="AN53" s="37"/>
      <c r="AO53" s="37"/>
      <c r="AP53" s="37"/>
      <c r="AQ53" s="33"/>
    </row>
    <row r="54" spans="1:43" ht="15" customHeight="1" x14ac:dyDescent="0.2">
      <c r="A54" s="32"/>
      <c r="B54" s="32"/>
      <c r="C54" s="253"/>
      <c r="D54" s="253"/>
      <c r="E54" s="253"/>
      <c r="F54" s="253"/>
      <c r="G54" s="253"/>
      <c r="H54" s="253"/>
      <c r="I54" s="29"/>
      <c r="J54" s="37"/>
      <c r="K54" s="37"/>
      <c r="L54" s="29"/>
      <c r="M54" s="37"/>
      <c r="N54" s="37"/>
      <c r="O54" s="29"/>
      <c r="P54" s="37"/>
      <c r="Q54" s="37"/>
      <c r="R54" s="37"/>
      <c r="S54" s="29"/>
      <c r="T54" s="29"/>
      <c r="U54" s="37"/>
      <c r="V54" s="37"/>
      <c r="W54" s="37"/>
      <c r="X54" s="172">
        <f t="shared" si="6"/>
        <v>0</v>
      </c>
      <c r="Y54" s="34" t="s">
        <v>17</v>
      </c>
      <c r="Z54" s="354"/>
      <c r="AA54" s="37"/>
      <c r="AB54" s="29"/>
      <c r="AC54" s="364"/>
      <c r="AD54" s="36">
        <f>X54*Z54/100</f>
        <v>0</v>
      </c>
      <c r="AE54" s="35"/>
      <c r="AF54" s="36">
        <f>X54*AB54/100</f>
        <v>0</v>
      </c>
      <c r="AG54" s="35"/>
      <c r="AH54" s="28">
        <f t="shared" si="7"/>
        <v>0</v>
      </c>
      <c r="AI54" s="39"/>
      <c r="AJ54" s="37"/>
      <c r="AK54" s="37"/>
      <c r="AL54" s="37"/>
      <c r="AM54" s="37"/>
      <c r="AN54" s="37"/>
      <c r="AO54" s="37"/>
      <c r="AP54" s="37"/>
      <c r="AQ54" s="33"/>
    </row>
    <row r="55" spans="1:43" ht="15" customHeight="1" x14ac:dyDescent="0.2">
      <c r="A55" s="32"/>
      <c r="B55" s="32"/>
      <c r="C55" s="253"/>
      <c r="D55" s="253"/>
      <c r="E55" s="253"/>
      <c r="F55" s="253"/>
      <c r="G55" s="253"/>
      <c r="H55" s="253"/>
      <c r="I55" s="253"/>
      <c r="J55" s="253"/>
      <c r="K55" s="253"/>
      <c r="L55" s="253"/>
      <c r="M55" s="253"/>
      <c r="N55" s="37"/>
      <c r="O55" s="37"/>
      <c r="P55" s="37"/>
      <c r="Q55" s="37"/>
      <c r="R55" s="37"/>
      <c r="S55" s="37"/>
      <c r="T55" s="37"/>
      <c r="U55" s="37"/>
      <c r="V55" s="37"/>
      <c r="W55" s="37"/>
      <c r="X55" s="172">
        <f t="shared" si="6"/>
        <v>0</v>
      </c>
      <c r="Y55" s="34" t="s">
        <v>66</v>
      </c>
      <c r="Z55" s="354"/>
      <c r="AA55" s="37"/>
      <c r="AB55" s="37"/>
      <c r="AC55" s="365">
        <v>75</v>
      </c>
      <c r="AD55" s="36"/>
      <c r="AE55" s="35"/>
      <c r="AF55" s="36">
        <f>-SUM(AF53:AF54)</f>
        <v>0</v>
      </c>
      <c r="AG55" s="35">
        <f>-AF55*AC55/100</f>
        <v>0</v>
      </c>
      <c r="AH55" s="28">
        <f t="shared" si="7"/>
        <v>0</v>
      </c>
      <c r="AI55" s="30">
        <f>AG55*65.2%</f>
        <v>0</v>
      </c>
      <c r="AJ55" s="30">
        <f>AG55*9.9%</f>
        <v>0</v>
      </c>
      <c r="AK55" s="29">
        <f>AG55*13.3%</f>
        <v>0</v>
      </c>
      <c r="AL55" s="29">
        <f>AG55*7%</f>
        <v>0</v>
      </c>
      <c r="AM55" s="29">
        <f>AG55*0%</f>
        <v>0</v>
      </c>
      <c r="AN55" s="29">
        <f>AG55*3.2%</f>
        <v>0</v>
      </c>
      <c r="AO55" s="29">
        <f>AG55*1.5%</f>
        <v>0</v>
      </c>
      <c r="AP55" s="29"/>
      <c r="AQ55" s="33"/>
    </row>
    <row r="56" spans="1:43" ht="15" customHeight="1" x14ac:dyDescent="0.2">
      <c r="A56" s="32"/>
      <c r="B56" s="32"/>
      <c r="C56" s="253"/>
      <c r="D56" s="29"/>
      <c r="E56" s="29">
        <v>0.498</v>
      </c>
      <c r="F56" s="253"/>
      <c r="G56" s="253"/>
      <c r="H56" s="253"/>
      <c r="I56" s="29"/>
      <c r="J56" s="253"/>
      <c r="K56" s="253"/>
      <c r="L56" s="253"/>
      <c r="M56" s="253"/>
      <c r="N56" s="37"/>
      <c r="O56" s="29"/>
      <c r="P56" s="29"/>
      <c r="Q56" s="29"/>
      <c r="R56" s="29">
        <v>21.22</v>
      </c>
      <c r="S56" s="29"/>
      <c r="T56" s="29"/>
      <c r="U56" s="37"/>
      <c r="V56" s="37"/>
      <c r="W56" s="37"/>
      <c r="X56" s="172">
        <f t="shared" si="6"/>
        <v>21.718</v>
      </c>
      <c r="Y56" s="34" t="s">
        <v>28</v>
      </c>
      <c r="Z56" s="354"/>
      <c r="AA56" s="37"/>
      <c r="AB56" s="29">
        <v>100</v>
      </c>
      <c r="AC56" s="364"/>
      <c r="AD56" s="36"/>
      <c r="AE56" s="35"/>
      <c r="AF56" s="36">
        <f>X56*AB56/100</f>
        <v>21.718000000000004</v>
      </c>
      <c r="AG56" s="35"/>
      <c r="AH56" s="28">
        <f t="shared" si="7"/>
        <v>0</v>
      </c>
      <c r="AI56" s="39"/>
      <c r="AJ56" s="38"/>
      <c r="AK56" s="38"/>
      <c r="AL56" s="38"/>
      <c r="AM56" s="38"/>
      <c r="AN56" s="38"/>
      <c r="AO56" s="38"/>
      <c r="AP56" s="38"/>
      <c r="AQ56" s="33"/>
    </row>
    <row r="57" spans="1:43" ht="15" customHeight="1" x14ac:dyDescent="0.2">
      <c r="A57" s="32"/>
      <c r="B57" s="32"/>
      <c r="C57" s="32"/>
      <c r="D57" s="32"/>
      <c r="E57" s="32"/>
      <c r="F57" s="32"/>
      <c r="G57" s="32"/>
      <c r="H57" s="32"/>
      <c r="I57" s="38"/>
      <c r="J57" s="32"/>
      <c r="K57" s="32"/>
      <c r="L57" s="32"/>
      <c r="M57" s="32"/>
      <c r="N57" s="29">
        <f>AF57-AE57</f>
        <v>0</v>
      </c>
      <c r="O57" s="38"/>
      <c r="P57" s="38"/>
      <c r="Q57" s="38"/>
      <c r="R57" s="38"/>
      <c r="S57" s="38"/>
      <c r="T57" s="38"/>
      <c r="U57" s="38"/>
      <c r="V57" s="38"/>
      <c r="W57" s="38"/>
      <c r="X57" s="172">
        <f t="shared" si="6"/>
        <v>0</v>
      </c>
      <c r="Y57" s="34" t="s">
        <v>120</v>
      </c>
      <c r="Z57" s="36"/>
      <c r="AA57" s="38"/>
      <c r="AB57" s="29"/>
      <c r="AC57" s="35"/>
      <c r="AD57" s="36">
        <f>-AE57/$D$2%</f>
        <v>0</v>
      </c>
      <c r="AE57" s="379"/>
      <c r="AF57" s="45">
        <f>AE57*AB57%</f>
        <v>0</v>
      </c>
      <c r="AG57" s="33"/>
      <c r="AH57" s="28"/>
      <c r="AI57" s="39"/>
      <c r="AJ57" s="38"/>
      <c r="AK57" s="38"/>
      <c r="AL57" s="38"/>
      <c r="AM57" s="38"/>
      <c r="AN57" s="38"/>
      <c r="AO57" s="38"/>
      <c r="AP57" s="38"/>
      <c r="AQ57" s="33"/>
    </row>
    <row r="58" spans="1:43" ht="15" customHeight="1" x14ac:dyDescent="0.2">
      <c r="A58" s="38"/>
      <c r="B58" s="38"/>
      <c r="C58" s="38"/>
      <c r="D58" s="38"/>
      <c r="E58" s="38"/>
      <c r="F58" s="38"/>
      <c r="G58" s="38"/>
      <c r="H58" s="38"/>
      <c r="I58" s="38"/>
      <c r="J58" s="38"/>
      <c r="K58" s="38"/>
      <c r="L58" s="38"/>
      <c r="M58" s="38"/>
      <c r="N58" s="38"/>
      <c r="O58" s="38"/>
      <c r="P58" s="38"/>
      <c r="Q58" s="38"/>
      <c r="R58" s="38"/>
      <c r="S58" s="38"/>
      <c r="T58" s="38"/>
      <c r="U58" s="38"/>
      <c r="V58" s="38"/>
      <c r="W58" s="38"/>
      <c r="X58" s="172">
        <f t="shared" si="6"/>
        <v>0</v>
      </c>
      <c r="Y58" s="34" t="s">
        <v>118</v>
      </c>
      <c r="Z58" s="36"/>
      <c r="AA58" s="38"/>
      <c r="AB58" s="29"/>
      <c r="AC58" s="35"/>
      <c r="AD58" s="36">
        <f>-AE58/$D$2%</f>
        <v>0</v>
      </c>
      <c r="AE58" s="365"/>
      <c r="AF58" s="354">
        <f>AE58*AB58%</f>
        <v>0</v>
      </c>
      <c r="AG58" s="35"/>
      <c r="AH58" s="28"/>
      <c r="AI58" s="39"/>
      <c r="AJ58" s="38"/>
      <c r="AK58" s="38"/>
      <c r="AL58" s="38"/>
      <c r="AM58" s="38"/>
      <c r="AN58" s="38"/>
      <c r="AO58" s="38"/>
      <c r="AP58" s="38"/>
      <c r="AQ58" s="33"/>
    </row>
    <row r="59" spans="1:43" ht="15" customHeight="1" x14ac:dyDescent="0.2">
      <c r="A59" s="32"/>
      <c r="B59" s="32"/>
      <c r="C59" s="38"/>
      <c r="D59" s="38"/>
      <c r="E59" s="38"/>
      <c r="F59" s="38"/>
      <c r="G59" s="38"/>
      <c r="H59" s="38"/>
      <c r="I59" s="38"/>
      <c r="J59" s="38"/>
      <c r="K59" s="38"/>
      <c r="L59" s="38"/>
      <c r="M59" s="38"/>
      <c r="N59" s="38"/>
      <c r="O59" s="38"/>
      <c r="P59" s="38"/>
      <c r="Q59" s="38"/>
      <c r="R59" s="38"/>
      <c r="S59" s="38"/>
      <c r="T59" s="38"/>
      <c r="U59" s="38"/>
      <c r="V59" s="38"/>
      <c r="W59" s="38"/>
      <c r="X59" s="172">
        <f t="shared" si="6"/>
        <v>0</v>
      </c>
      <c r="Y59" s="34" t="s">
        <v>119</v>
      </c>
      <c r="Z59" s="36"/>
      <c r="AA59" s="38"/>
      <c r="AB59" s="38"/>
      <c r="AC59" s="35"/>
      <c r="AD59" s="36"/>
      <c r="AE59" s="35"/>
      <c r="AF59" s="36">
        <f>X59*AB59/100</f>
        <v>0</v>
      </c>
      <c r="AG59" s="35"/>
      <c r="AH59" s="28"/>
      <c r="AI59" s="39"/>
      <c r="AJ59" s="38"/>
      <c r="AK59" s="38"/>
      <c r="AL59" s="38"/>
      <c r="AM59" s="38"/>
      <c r="AN59" s="38"/>
      <c r="AO59" s="38"/>
      <c r="AP59" s="38"/>
      <c r="AQ59" s="33"/>
    </row>
    <row r="60" spans="1:43" ht="15" customHeight="1" x14ac:dyDescent="0.2">
      <c r="A60" s="32"/>
      <c r="B60" s="32"/>
      <c r="C60" s="253"/>
      <c r="D60" s="253"/>
      <c r="E60" s="253"/>
      <c r="F60" s="253"/>
      <c r="G60" s="253"/>
      <c r="H60" s="253"/>
      <c r="I60" s="380"/>
      <c r="J60" s="253"/>
      <c r="K60" s="253"/>
      <c r="L60" s="29"/>
      <c r="M60" s="253"/>
      <c r="N60" s="37"/>
      <c r="O60" s="37"/>
      <c r="P60" s="37"/>
      <c r="Q60" s="37"/>
      <c r="R60" s="37"/>
      <c r="S60" s="37"/>
      <c r="T60" s="37"/>
      <c r="U60" s="37"/>
      <c r="V60" s="37"/>
      <c r="W60" s="37"/>
      <c r="X60" s="172">
        <f>SUM(A60:W60)</f>
        <v>0</v>
      </c>
      <c r="Y60" s="34" t="s">
        <v>241</v>
      </c>
      <c r="Z60" s="354"/>
      <c r="AA60" s="37"/>
      <c r="AB60" s="29"/>
      <c r="AC60" s="364"/>
      <c r="AD60" s="36"/>
      <c r="AE60" s="35"/>
      <c r="AF60" s="36">
        <f>X60*AB60/100</f>
        <v>0</v>
      </c>
      <c r="AG60" s="35"/>
      <c r="AH60" s="28">
        <f t="shared" si="7"/>
        <v>0</v>
      </c>
      <c r="AI60" s="39"/>
      <c r="AJ60" s="38"/>
      <c r="AK60" s="38"/>
      <c r="AL60" s="38"/>
      <c r="AM60" s="38"/>
      <c r="AN60" s="38"/>
      <c r="AO60" s="38"/>
      <c r="AP60" s="38"/>
      <c r="AQ60" s="33"/>
    </row>
    <row r="61" spans="1:43" ht="15" customHeight="1" x14ac:dyDescent="0.2">
      <c r="A61" s="31"/>
      <c r="B61" s="32"/>
      <c r="C61" s="253"/>
      <c r="D61" s="253"/>
      <c r="E61" s="253"/>
      <c r="F61" s="253"/>
      <c r="G61" s="253"/>
      <c r="H61" s="253"/>
      <c r="I61" s="253"/>
      <c r="J61" s="253"/>
      <c r="K61" s="253"/>
      <c r="L61" s="253"/>
      <c r="M61" s="253"/>
      <c r="N61" s="37"/>
      <c r="O61" s="37"/>
      <c r="P61" s="37"/>
      <c r="Q61" s="37"/>
      <c r="R61" s="37"/>
      <c r="S61" s="37"/>
      <c r="T61" s="37"/>
      <c r="U61" s="37"/>
      <c r="V61" s="37"/>
      <c r="W61" s="37"/>
      <c r="X61" s="172">
        <f>SUM(A61:W61)</f>
        <v>0</v>
      </c>
      <c r="Y61" s="34" t="s">
        <v>37</v>
      </c>
      <c r="Z61" s="354"/>
      <c r="AA61" s="37"/>
      <c r="AB61" s="37"/>
      <c r="AC61" s="364"/>
      <c r="AD61" s="36">
        <f>X61*Z61%</f>
        <v>0</v>
      </c>
      <c r="AE61" s="35"/>
      <c r="AF61" s="36">
        <f>X61*AB61%</f>
        <v>0</v>
      </c>
      <c r="AG61" s="35"/>
      <c r="AH61" s="28">
        <f t="shared" si="7"/>
        <v>0</v>
      </c>
      <c r="AI61" s="39"/>
      <c r="AJ61" s="38"/>
      <c r="AK61" s="38"/>
      <c r="AL61" s="38"/>
      <c r="AM61" s="38"/>
      <c r="AN61" s="38"/>
      <c r="AO61" s="38"/>
      <c r="AP61" s="38"/>
      <c r="AQ61" s="33"/>
    </row>
    <row r="62" spans="1:43" ht="15" customHeight="1" x14ac:dyDescent="0.2">
      <c r="A62" s="32"/>
      <c r="B62" s="32"/>
      <c r="C62" s="253"/>
      <c r="D62" s="253"/>
      <c r="E62" s="253"/>
      <c r="F62" s="253"/>
      <c r="G62" s="253"/>
      <c r="H62" s="253"/>
      <c r="I62" s="380"/>
      <c r="J62" s="253"/>
      <c r="K62" s="253"/>
      <c r="L62" s="253"/>
      <c r="M62" s="253"/>
      <c r="N62" s="37"/>
      <c r="O62" s="253"/>
      <c r="P62" s="253"/>
      <c r="Q62" s="253"/>
      <c r="R62" s="253"/>
      <c r="S62" s="253"/>
      <c r="T62" s="253"/>
      <c r="U62" s="253"/>
      <c r="V62" s="253"/>
      <c r="W62" s="253"/>
      <c r="X62" s="172">
        <f t="shared" ref="X62:X80" si="8">SUM(A62:W62)</f>
        <v>0</v>
      </c>
      <c r="Y62" s="34" t="s">
        <v>115</v>
      </c>
      <c r="Z62" s="354"/>
      <c r="AA62" s="37"/>
      <c r="AB62" s="37"/>
      <c r="AC62" s="365">
        <v>75</v>
      </c>
      <c r="AD62" s="36"/>
      <c r="AE62" s="35"/>
      <c r="AF62" s="374">
        <f>-SUM(AF56:AF61)</f>
        <v>-21.718000000000004</v>
      </c>
      <c r="AG62" s="35">
        <f>-AF62*AC62/100</f>
        <v>16.288500000000003</v>
      </c>
      <c r="AH62" s="28">
        <f t="shared" si="7"/>
        <v>16.304788500000004</v>
      </c>
      <c r="AI62" s="30">
        <f>AG62*65.2%</f>
        <v>10.620102000000003</v>
      </c>
      <c r="AJ62" s="30">
        <f>AG62*9.9%</f>
        <v>1.6125615000000004</v>
      </c>
      <c r="AK62" s="29">
        <f>AG62*13.3%</f>
        <v>2.1663705000000006</v>
      </c>
      <c r="AL62" s="29">
        <f>AG62*7%</f>
        <v>1.1401950000000003</v>
      </c>
      <c r="AM62" s="29">
        <f>AG62*0%</f>
        <v>0</v>
      </c>
      <c r="AN62" s="29">
        <f>AG62*3.2%</f>
        <v>0.52123200000000014</v>
      </c>
      <c r="AO62" s="29">
        <f>AG62*1.5%</f>
        <v>0.24432750000000003</v>
      </c>
      <c r="AP62" s="29"/>
      <c r="AQ62" s="33"/>
    </row>
    <row r="63" spans="1:43" ht="15" customHeight="1" x14ac:dyDescent="0.2">
      <c r="A63" s="32"/>
      <c r="B63" s="32"/>
      <c r="C63" s="253"/>
      <c r="D63" s="29"/>
      <c r="E63" s="253"/>
      <c r="F63" s="253"/>
      <c r="G63" s="253"/>
      <c r="H63" s="253"/>
      <c r="I63" s="37"/>
      <c r="J63" s="253"/>
      <c r="K63" s="253"/>
      <c r="L63" s="253"/>
      <c r="M63" s="253"/>
      <c r="N63" s="37"/>
      <c r="O63" s="253"/>
      <c r="P63" s="29"/>
      <c r="Q63" s="253"/>
      <c r="R63" s="253"/>
      <c r="S63" s="29"/>
      <c r="T63" s="253"/>
      <c r="U63" s="29"/>
      <c r="V63" s="253"/>
      <c r="W63" s="29"/>
      <c r="X63" s="172">
        <f t="shared" si="8"/>
        <v>0</v>
      </c>
      <c r="Y63" s="34" t="s">
        <v>20</v>
      </c>
      <c r="Z63" s="366"/>
      <c r="AA63" s="37"/>
      <c r="AB63" s="29"/>
      <c r="AC63" s="364"/>
      <c r="AD63" s="31">
        <f t="shared" ref="AD63:AD68" si="9">Z63/100*X63</f>
        <v>0</v>
      </c>
      <c r="AE63" s="33"/>
      <c r="AF63" s="31">
        <f>X63*AB63/100</f>
        <v>0</v>
      </c>
      <c r="AG63" s="33"/>
      <c r="AH63" s="28">
        <f t="shared" si="7"/>
        <v>0</v>
      </c>
      <c r="AI63" s="39"/>
      <c r="AJ63" s="38"/>
      <c r="AK63" s="38"/>
      <c r="AL63" s="38"/>
      <c r="AM63" s="38"/>
      <c r="AN63" s="38"/>
      <c r="AO63" s="38"/>
      <c r="AP63" s="38"/>
      <c r="AQ63" s="33"/>
    </row>
    <row r="64" spans="1:43" ht="15" customHeight="1" x14ac:dyDescent="0.2">
      <c r="A64" s="32"/>
      <c r="B64" s="32"/>
      <c r="C64" s="253"/>
      <c r="D64" s="253"/>
      <c r="E64" s="253"/>
      <c r="F64" s="253"/>
      <c r="G64" s="253"/>
      <c r="H64" s="253"/>
      <c r="I64" s="29"/>
      <c r="J64" s="253"/>
      <c r="K64" s="253"/>
      <c r="L64" s="253"/>
      <c r="M64" s="253"/>
      <c r="N64" s="37"/>
      <c r="O64" s="29"/>
      <c r="P64" s="37"/>
      <c r="Q64" s="37"/>
      <c r="R64" s="37"/>
      <c r="S64" s="37"/>
      <c r="T64" s="29"/>
      <c r="U64" s="253"/>
      <c r="V64" s="253"/>
      <c r="W64" s="253"/>
      <c r="X64" s="172">
        <f t="shared" si="8"/>
        <v>0</v>
      </c>
      <c r="Y64" s="34" t="s">
        <v>21</v>
      </c>
      <c r="Z64" s="366"/>
      <c r="AA64" s="37"/>
      <c r="AB64" s="29"/>
      <c r="AC64" s="364"/>
      <c r="AD64" s="31">
        <f t="shared" si="9"/>
        <v>0</v>
      </c>
      <c r="AE64" s="33"/>
      <c r="AF64" s="31">
        <f>X64*AB64/100</f>
        <v>0</v>
      </c>
      <c r="AG64" s="33"/>
      <c r="AH64" s="28">
        <f t="shared" si="7"/>
        <v>0</v>
      </c>
      <c r="AI64" s="39"/>
      <c r="AJ64" s="38"/>
      <c r="AK64" s="38"/>
      <c r="AL64" s="38"/>
      <c r="AM64" s="38"/>
      <c r="AN64" s="38"/>
      <c r="AO64" s="38"/>
      <c r="AP64" s="38"/>
      <c r="AQ64" s="33"/>
    </row>
    <row r="65" spans="1:43" ht="15" customHeight="1" x14ac:dyDescent="0.2">
      <c r="A65" s="32"/>
      <c r="B65" s="32"/>
      <c r="C65" s="253"/>
      <c r="D65" s="253"/>
      <c r="E65" s="29"/>
      <c r="F65" s="253"/>
      <c r="G65" s="253"/>
      <c r="H65" s="253"/>
      <c r="I65" s="29"/>
      <c r="J65" s="253"/>
      <c r="K65" s="253"/>
      <c r="L65" s="253"/>
      <c r="M65" s="253"/>
      <c r="N65" s="37"/>
      <c r="O65" s="253"/>
      <c r="P65" s="253"/>
      <c r="Q65" s="253"/>
      <c r="R65" s="253"/>
      <c r="S65" s="253"/>
      <c r="T65" s="253"/>
      <c r="U65" s="253"/>
      <c r="V65" s="253"/>
      <c r="W65" s="253"/>
      <c r="X65" s="172">
        <f t="shared" si="8"/>
        <v>0</v>
      </c>
      <c r="Y65" s="34" t="s">
        <v>22</v>
      </c>
      <c r="Z65" s="366"/>
      <c r="AA65" s="37"/>
      <c r="AB65" s="29"/>
      <c r="AC65" s="364"/>
      <c r="AD65" s="31">
        <f>Z65/100*X65</f>
        <v>0</v>
      </c>
      <c r="AE65" s="33"/>
      <c r="AF65" s="31">
        <f>X65*AB65/100</f>
        <v>0</v>
      </c>
      <c r="AG65" s="33"/>
      <c r="AH65" s="28">
        <f t="shared" si="7"/>
        <v>0</v>
      </c>
      <c r="AI65" s="39"/>
      <c r="AJ65" s="38"/>
      <c r="AK65" s="38"/>
      <c r="AL65" s="38"/>
      <c r="AM65" s="38"/>
      <c r="AN65" s="38"/>
      <c r="AO65" s="38"/>
      <c r="AP65" s="38"/>
      <c r="AQ65" s="33"/>
    </row>
    <row r="66" spans="1:43" ht="15" customHeight="1" x14ac:dyDescent="0.2">
      <c r="A66" s="32"/>
      <c r="B66" s="32"/>
      <c r="C66" s="38"/>
      <c r="D66" s="38"/>
      <c r="E66" s="29"/>
      <c r="F66" s="38"/>
      <c r="G66" s="38"/>
      <c r="H66" s="38"/>
      <c r="I66" s="29"/>
      <c r="J66" s="32"/>
      <c r="K66" s="32"/>
      <c r="L66" s="32"/>
      <c r="M66" s="32"/>
      <c r="N66" s="38"/>
      <c r="O66" s="29"/>
      <c r="P66" s="38"/>
      <c r="Q66" s="38"/>
      <c r="R66" s="29"/>
      <c r="S66" s="29"/>
      <c r="T66" s="29"/>
      <c r="U66" s="29"/>
      <c r="V66" s="38"/>
      <c r="W66" s="29"/>
      <c r="X66" s="172">
        <f t="shared" si="8"/>
        <v>0</v>
      </c>
      <c r="Y66" s="34" t="s">
        <v>23</v>
      </c>
      <c r="Z66" s="354"/>
      <c r="AA66" s="37"/>
      <c r="AB66" s="29"/>
      <c r="AC66" s="364"/>
      <c r="AD66" s="31">
        <f t="shared" si="9"/>
        <v>0</v>
      </c>
      <c r="AE66" s="33"/>
      <c r="AF66" s="31">
        <f>X66*AB66/100</f>
        <v>0</v>
      </c>
      <c r="AG66" s="33"/>
      <c r="AH66" s="28">
        <f t="shared" si="7"/>
        <v>0</v>
      </c>
      <c r="AI66" s="39"/>
      <c r="AJ66" s="38"/>
      <c r="AK66" s="38"/>
      <c r="AL66" s="38"/>
      <c r="AM66" s="38"/>
      <c r="AN66" s="38"/>
      <c r="AO66" s="38"/>
      <c r="AP66" s="38"/>
      <c r="AQ66" s="33"/>
    </row>
    <row r="67" spans="1:43" ht="15" customHeight="1" x14ac:dyDescent="0.2">
      <c r="A67" s="32"/>
      <c r="B67" s="32"/>
      <c r="C67" s="38"/>
      <c r="D67" s="38"/>
      <c r="E67" s="38"/>
      <c r="F67" s="38"/>
      <c r="G67" s="38"/>
      <c r="H67" s="38"/>
      <c r="I67" s="38"/>
      <c r="J67" s="32"/>
      <c r="K67" s="32"/>
      <c r="L67" s="32"/>
      <c r="M67" s="32"/>
      <c r="N67" s="38"/>
      <c r="O67" s="32"/>
      <c r="P67" s="38"/>
      <c r="Q67" s="32"/>
      <c r="R67" s="32"/>
      <c r="S67" s="32"/>
      <c r="T67" s="32"/>
      <c r="U67" s="32"/>
      <c r="V67" s="38"/>
      <c r="W67" s="32"/>
      <c r="X67" s="172">
        <f t="shared" si="8"/>
        <v>0</v>
      </c>
      <c r="Y67" s="34" t="s">
        <v>24</v>
      </c>
      <c r="Z67" s="354"/>
      <c r="AA67" s="37"/>
      <c r="AB67" s="37"/>
      <c r="AC67" s="364"/>
      <c r="AD67" s="31">
        <f t="shared" si="9"/>
        <v>0</v>
      </c>
      <c r="AE67" s="33"/>
      <c r="AF67" s="31">
        <f>X67*AB67/100</f>
        <v>0</v>
      </c>
      <c r="AG67" s="33"/>
      <c r="AH67" s="28">
        <f t="shared" si="7"/>
        <v>0</v>
      </c>
      <c r="AI67" s="39"/>
      <c r="AJ67" s="38"/>
      <c r="AK67" s="38"/>
      <c r="AL67" s="38"/>
      <c r="AM67" s="38"/>
      <c r="AN67" s="38"/>
      <c r="AO67" s="38"/>
      <c r="AP67" s="38"/>
      <c r="AQ67" s="33"/>
    </row>
    <row r="68" spans="1:43" ht="15" customHeight="1" x14ac:dyDescent="0.2">
      <c r="A68" s="32"/>
      <c r="B68" s="32"/>
      <c r="C68" s="38"/>
      <c r="D68" s="38"/>
      <c r="E68" s="38"/>
      <c r="F68" s="38"/>
      <c r="G68" s="38"/>
      <c r="H68" s="38"/>
      <c r="I68" s="38"/>
      <c r="J68" s="32"/>
      <c r="K68" s="32"/>
      <c r="L68" s="32"/>
      <c r="M68" s="32"/>
      <c r="N68" s="38"/>
      <c r="O68" s="32"/>
      <c r="P68" s="38"/>
      <c r="Q68" s="32"/>
      <c r="R68" s="29"/>
      <c r="S68" s="38"/>
      <c r="T68" s="32"/>
      <c r="U68" s="32"/>
      <c r="V68" s="38"/>
      <c r="W68" s="32"/>
      <c r="X68" s="172">
        <f t="shared" si="8"/>
        <v>0</v>
      </c>
      <c r="Y68" s="34" t="s">
        <v>25</v>
      </c>
      <c r="Z68" s="354"/>
      <c r="AA68" s="37"/>
      <c r="AB68" s="37">
        <v>100</v>
      </c>
      <c r="AC68" s="364"/>
      <c r="AD68" s="31">
        <f t="shared" si="9"/>
        <v>0</v>
      </c>
      <c r="AE68" s="365"/>
      <c r="AF68" s="36"/>
      <c r="AG68" s="33"/>
      <c r="AH68" s="28">
        <f t="shared" si="7"/>
        <v>0</v>
      </c>
      <c r="AI68" s="39"/>
      <c r="AJ68" s="38"/>
      <c r="AK68" s="38"/>
      <c r="AL68" s="38"/>
      <c r="AM68" s="38"/>
      <c r="AN68" s="38"/>
      <c r="AO68" s="38"/>
      <c r="AP68" s="38"/>
      <c r="AQ68" s="33"/>
    </row>
    <row r="69" spans="1:43" ht="15" customHeight="1" x14ac:dyDescent="0.2">
      <c r="A69" s="32"/>
      <c r="B69" s="32"/>
      <c r="C69" s="32"/>
      <c r="D69" s="32"/>
      <c r="E69" s="32"/>
      <c r="F69" s="32"/>
      <c r="G69" s="32"/>
      <c r="H69" s="32"/>
      <c r="I69" s="32"/>
      <c r="J69" s="32"/>
      <c r="K69" s="32"/>
      <c r="L69" s="32"/>
      <c r="M69" s="32"/>
      <c r="N69" s="32"/>
      <c r="O69" s="32"/>
      <c r="P69" s="32"/>
      <c r="Q69" s="32"/>
      <c r="R69" s="32"/>
      <c r="S69" s="32"/>
      <c r="T69" s="32"/>
      <c r="U69" s="32"/>
      <c r="V69" s="38"/>
      <c r="W69" s="32"/>
      <c r="X69" s="172">
        <f t="shared" si="8"/>
        <v>0</v>
      </c>
      <c r="Y69" s="179" t="s">
        <v>26</v>
      </c>
      <c r="Z69" s="374"/>
      <c r="AA69" s="253"/>
      <c r="AB69" s="253"/>
      <c r="AC69" s="377"/>
      <c r="AD69" s="31">
        <f>-AE69</f>
        <v>0</v>
      </c>
      <c r="AE69" s="364"/>
      <c r="AF69" s="354"/>
      <c r="AG69" s="33"/>
      <c r="AH69" s="28">
        <f t="shared" si="7"/>
        <v>0</v>
      </c>
      <c r="AI69" s="39"/>
      <c r="AJ69" s="38"/>
      <c r="AK69" s="38"/>
      <c r="AL69" s="38"/>
      <c r="AM69" s="38"/>
      <c r="AN69" s="38">
        <f>AE69</f>
        <v>0</v>
      </c>
      <c r="AO69" s="38"/>
      <c r="AP69" s="38"/>
      <c r="AQ69" s="33"/>
    </row>
    <row r="70" spans="1:43"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172">
        <f t="shared" si="8"/>
        <v>0</v>
      </c>
      <c r="Y70" s="179" t="s">
        <v>27</v>
      </c>
      <c r="Z70" s="374"/>
      <c r="AA70" s="253"/>
      <c r="AB70" s="253"/>
      <c r="AC70" s="364"/>
      <c r="AD70" s="31"/>
      <c r="AE70" s="364"/>
      <c r="AF70" s="354"/>
      <c r="AG70" s="180"/>
      <c r="AH70" s="28">
        <f t="shared" si="7"/>
        <v>0</v>
      </c>
      <c r="AI70" s="39"/>
      <c r="AJ70" s="38"/>
      <c r="AK70" s="38"/>
      <c r="AL70" s="38"/>
      <c r="AM70" s="38"/>
      <c r="AN70" s="38">
        <f>-AF70</f>
        <v>0</v>
      </c>
      <c r="AO70" s="38"/>
      <c r="AP70" s="38"/>
      <c r="AQ70" s="33"/>
    </row>
    <row r="71" spans="1:43" ht="15" customHeight="1" x14ac:dyDescent="0.2">
      <c r="A71" s="32"/>
      <c r="B71" s="32"/>
      <c r="C71" s="32"/>
      <c r="D71" s="32"/>
      <c r="E71" s="32"/>
      <c r="F71" s="32"/>
      <c r="G71" s="32"/>
      <c r="H71" s="32"/>
      <c r="I71" s="32"/>
      <c r="J71" s="32"/>
      <c r="K71" s="32"/>
      <c r="L71" s="32"/>
      <c r="M71" s="32"/>
      <c r="N71" s="32"/>
      <c r="O71" s="32"/>
      <c r="P71" s="38"/>
      <c r="Q71" s="32"/>
      <c r="R71" s="32"/>
      <c r="S71" s="32"/>
      <c r="T71" s="32"/>
      <c r="U71" s="32"/>
      <c r="V71" s="32"/>
      <c r="W71" s="32"/>
      <c r="X71" s="172">
        <f t="shared" si="8"/>
        <v>0</v>
      </c>
      <c r="Y71" s="34" t="s">
        <v>67</v>
      </c>
      <c r="Z71" s="374"/>
      <c r="AA71" s="253"/>
      <c r="AB71" s="253"/>
      <c r="AC71" s="365">
        <v>75</v>
      </c>
      <c r="AD71" s="31"/>
      <c r="AE71" s="33"/>
      <c r="AF71" s="31">
        <f>-SUM(AF63:AF70)</f>
        <v>0</v>
      </c>
      <c r="AG71" s="33">
        <f>-AF71*AC71/100</f>
        <v>0</v>
      </c>
      <c r="AH71" s="28">
        <f t="shared" si="7"/>
        <v>0</v>
      </c>
      <c r="AI71" s="30">
        <f>AG71*65.2%</f>
        <v>0</v>
      </c>
      <c r="AJ71" s="30">
        <f>AG71*9.9%</f>
        <v>0</v>
      </c>
      <c r="AK71" s="29">
        <f>AG71*13.3%</f>
        <v>0</v>
      </c>
      <c r="AL71" s="29">
        <f>AG71*7%</f>
        <v>0</v>
      </c>
      <c r="AM71" s="29">
        <f>AG71*0%</f>
        <v>0</v>
      </c>
      <c r="AN71" s="29">
        <f>AG71*3.2%</f>
        <v>0</v>
      </c>
      <c r="AO71" s="29">
        <f>AG71*1.5%</f>
        <v>0</v>
      </c>
      <c r="AP71" s="29"/>
      <c r="AQ71" s="33"/>
    </row>
    <row r="72" spans="1:43" ht="15" customHeight="1" x14ac:dyDescent="0.2">
      <c r="A72" s="31"/>
      <c r="B72" s="32"/>
      <c r="C72" s="32"/>
      <c r="D72" s="32"/>
      <c r="E72" s="32"/>
      <c r="F72" s="37"/>
      <c r="G72" s="37"/>
      <c r="H72" s="29">
        <f>18.62*(1-0.031)</f>
        <v>18.04278</v>
      </c>
      <c r="I72" s="37"/>
      <c r="J72" s="37"/>
      <c r="K72" s="37"/>
      <c r="L72" s="37"/>
      <c r="M72" s="37"/>
      <c r="N72" s="37"/>
      <c r="O72" s="37"/>
      <c r="P72" s="29">
        <f>18.62*(0.031)</f>
        <v>0.57722000000000007</v>
      </c>
      <c r="Q72" s="32"/>
      <c r="R72" s="32"/>
      <c r="S72" s="32"/>
      <c r="T72" s="32"/>
      <c r="U72" s="32"/>
      <c r="V72" s="32"/>
      <c r="W72" s="32"/>
      <c r="X72" s="172">
        <f t="shared" si="8"/>
        <v>18.62</v>
      </c>
      <c r="Y72" s="34" t="s">
        <v>68</v>
      </c>
      <c r="Z72" s="31"/>
      <c r="AA72" s="32">
        <v>20</v>
      </c>
      <c r="AB72" s="32"/>
      <c r="AC72" s="33"/>
      <c r="AD72" s="31"/>
      <c r="AE72" s="33"/>
      <c r="AF72" s="31"/>
      <c r="AG72" s="33"/>
      <c r="AH72" s="28">
        <f t="shared" si="7"/>
        <v>3.7240000000000002</v>
      </c>
      <c r="AI72" s="42"/>
      <c r="AJ72" s="32"/>
      <c r="AK72" s="32"/>
      <c r="AL72" s="32"/>
      <c r="AM72" s="32"/>
      <c r="AN72" s="32"/>
      <c r="AO72" s="32"/>
      <c r="AP72" s="32"/>
      <c r="AQ72" s="33">
        <f>X72*AA72/100</f>
        <v>3.7240000000000002</v>
      </c>
    </row>
    <row r="73" spans="1:43" ht="15" customHeight="1" x14ac:dyDescent="0.2">
      <c r="A73" s="31"/>
      <c r="B73" s="32"/>
      <c r="C73" s="32"/>
      <c r="D73" s="32"/>
      <c r="E73" s="32"/>
      <c r="F73" s="29">
        <f>14.66*(1-0.067)</f>
        <v>13.67778</v>
      </c>
      <c r="G73" s="37"/>
      <c r="H73" s="37"/>
      <c r="I73" s="37"/>
      <c r="J73" s="37"/>
      <c r="K73" s="37"/>
      <c r="L73" s="37"/>
      <c r="M73" s="37"/>
      <c r="N73" s="37"/>
      <c r="O73" s="37"/>
      <c r="P73" s="29">
        <f>14.66*(0.067)</f>
        <v>0.98222000000000009</v>
      </c>
      <c r="Q73" s="32"/>
      <c r="R73" s="32"/>
      <c r="S73" s="32"/>
      <c r="T73" s="32"/>
      <c r="U73" s="32"/>
      <c r="V73" s="32"/>
      <c r="W73" s="32"/>
      <c r="X73" s="172">
        <f t="shared" si="8"/>
        <v>14.66</v>
      </c>
      <c r="Y73" s="34" t="s">
        <v>69</v>
      </c>
      <c r="Z73" s="31"/>
      <c r="AA73" s="32">
        <v>25</v>
      </c>
      <c r="AB73" s="32"/>
      <c r="AC73" s="33"/>
      <c r="AD73" s="31"/>
      <c r="AE73" s="33"/>
      <c r="AF73" s="31"/>
      <c r="AG73" s="33"/>
      <c r="AH73" s="28">
        <f t="shared" si="7"/>
        <v>3.665</v>
      </c>
      <c r="AI73" s="42"/>
      <c r="AJ73" s="32"/>
      <c r="AK73" s="32"/>
      <c r="AL73" s="32"/>
      <c r="AM73" s="32"/>
      <c r="AN73" s="32"/>
      <c r="AO73" s="32"/>
      <c r="AP73" s="32"/>
      <c r="AQ73" s="33">
        <f>X73*AA73/100</f>
        <v>3.665</v>
      </c>
    </row>
    <row r="74" spans="1:43" ht="15" customHeight="1" x14ac:dyDescent="0.2">
      <c r="A74" s="31"/>
      <c r="B74" s="32"/>
      <c r="C74" s="32"/>
      <c r="D74" s="32"/>
      <c r="E74" s="32"/>
      <c r="F74" s="29">
        <f>14.07*(1-0.067)</f>
        <v>13.127310000000001</v>
      </c>
      <c r="G74" s="37"/>
      <c r="H74" s="37"/>
      <c r="I74" s="37"/>
      <c r="J74" s="37"/>
      <c r="K74" s="37"/>
      <c r="L74" s="37"/>
      <c r="M74" s="37"/>
      <c r="N74" s="37"/>
      <c r="O74" s="37"/>
      <c r="P74" s="29">
        <f>14.07*0.067</f>
        <v>0.94269000000000003</v>
      </c>
      <c r="Q74" s="32"/>
      <c r="R74" s="32"/>
      <c r="S74" s="32"/>
      <c r="T74" s="32"/>
      <c r="U74" s="32"/>
      <c r="V74" s="32"/>
      <c r="W74" s="32"/>
      <c r="X74" s="172">
        <f t="shared" si="8"/>
        <v>14.070000000000002</v>
      </c>
      <c r="Y74" s="34" t="s">
        <v>121</v>
      </c>
      <c r="Z74" s="31"/>
      <c r="AA74" s="32">
        <v>25</v>
      </c>
      <c r="AB74" s="32"/>
      <c r="AC74" s="33"/>
      <c r="AD74" s="31"/>
      <c r="AE74" s="33"/>
      <c r="AF74" s="31"/>
      <c r="AG74" s="33"/>
      <c r="AH74" s="28">
        <f t="shared" si="7"/>
        <v>3.5175000000000005</v>
      </c>
      <c r="AI74" s="42"/>
      <c r="AJ74" s="32"/>
      <c r="AK74" s="32"/>
      <c r="AL74" s="32"/>
      <c r="AM74" s="32"/>
      <c r="AN74" s="32"/>
      <c r="AO74" s="32"/>
      <c r="AP74" s="32"/>
      <c r="AQ74" s="33">
        <f>X74*AA74/100</f>
        <v>3.5175000000000005</v>
      </c>
    </row>
    <row r="75" spans="1:43" ht="15" customHeight="1" x14ac:dyDescent="0.2">
      <c r="A75" s="31"/>
      <c r="B75" s="32"/>
      <c r="C75" s="32"/>
      <c r="D75" s="32"/>
      <c r="E75" s="32"/>
      <c r="F75" s="29">
        <f>1.27*(1-0.067)</f>
        <v>1.1849100000000001</v>
      </c>
      <c r="G75" s="37"/>
      <c r="H75" s="37"/>
      <c r="I75" s="37"/>
      <c r="J75" s="37"/>
      <c r="K75" s="37"/>
      <c r="L75" s="37"/>
      <c r="M75" s="37"/>
      <c r="N75" s="37"/>
      <c r="O75" s="37"/>
      <c r="P75" s="29">
        <f>1.27*0.067</f>
        <v>8.5090000000000013E-2</v>
      </c>
      <c r="Q75" s="32"/>
      <c r="R75" s="32"/>
      <c r="S75" s="32"/>
      <c r="T75" s="32"/>
      <c r="U75" s="32"/>
      <c r="V75" s="32"/>
      <c r="W75" s="32"/>
      <c r="X75" s="172">
        <f t="shared" si="8"/>
        <v>1.2700000000000002</v>
      </c>
      <c r="Y75" s="34" t="s">
        <v>9</v>
      </c>
      <c r="Z75" s="31"/>
      <c r="AA75" s="32">
        <v>33</v>
      </c>
      <c r="AB75" s="32"/>
      <c r="AC75" s="33"/>
      <c r="AD75" s="31"/>
      <c r="AE75" s="33"/>
      <c r="AF75" s="31"/>
      <c r="AG75" s="33"/>
      <c r="AH75" s="28">
        <f t="shared" si="7"/>
        <v>0.41910000000000008</v>
      </c>
      <c r="AI75" s="42"/>
      <c r="AJ75" s="32"/>
      <c r="AK75" s="32"/>
      <c r="AL75" s="32"/>
      <c r="AM75" s="32"/>
      <c r="AN75" s="32"/>
      <c r="AO75" s="32"/>
      <c r="AP75" s="32"/>
      <c r="AQ75" s="33">
        <f>X75*AA75/100</f>
        <v>0.41910000000000008</v>
      </c>
    </row>
    <row r="76" spans="1:43" ht="15" customHeight="1" x14ac:dyDescent="0.2">
      <c r="A76" s="31"/>
      <c r="B76" s="32"/>
      <c r="C76" s="32"/>
      <c r="D76" s="32"/>
      <c r="E76" s="32"/>
      <c r="F76" s="29">
        <f>19.63*(1-0.067)</f>
        <v>18.314789999999999</v>
      </c>
      <c r="G76" s="37"/>
      <c r="H76" s="37"/>
      <c r="I76" s="37"/>
      <c r="J76" s="37"/>
      <c r="K76" s="37"/>
      <c r="L76" s="37"/>
      <c r="M76" s="37"/>
      <c r="N76" s="37"/>
      <c r="O76" s="37"/>
      <c r="P76" s="29">
        <f>19.63*0.067</f>
        <v>1.31521</v>
      </c>
      <c r="Q76" s="32"/>
      <c r="R76" s="32"/>
      <c r="S76" s="32"/>
      <c r="T76" s="32"/>
      <c r="U76" s="32"/>
      <c r="V76" s="32"/>
      <c r="W76" s="32"/>
      <c r="X76" s="33">
        <f t="shared" si="8"/>
        <v>19.63</v>
      </c>
      <c r="Y76" s="34" t="s">
        <v>70</v>
      </c>
      <c r="Z76" s="31"/>
      <c r="AA76" s="32">
        <v>33</v>
      </c>
      <c r="AB76" s="32"/>
      <c r="AC76" s="33"/>
      <c r="AD76" s="31"/>
      <c r="AE76" s="33"/>
      <c r="AF76" s="31"/>
      <c r="AG76" s="33"/>
      <c r="AH76" s="28">
        <f t="shared" si="7"/>
        <v>6.4779</v>
      </c>
      <c r="AI76" s="42"/>
      <c r="AJ76" s="32"/>
      <c r="AK76" s="32"/>
      <c r="AL76" s="32"/>
      <c r="AM76" s="32"/>
      <c r="AN76" s="32"/>
      <c r="AO76" s="32"/>
      <c r="AP76" s="32"/>
      <c r="AQ76" s="33">
        <f>X76*AA76/100</f>
        <v>6.4779</v>
      </c>
    </row>
    <row r="77" spans="1:43" ht="15" customHeight="1" x14ac:dyDescent="0.2">
      <c r="A77" s="31"/>
      <c r="B77" s="32"/>
      <c r="C77" s="32"/>
      <c r="D77" s="32"/>
      <c r="E77" s="32"/>
      <c r="F77" s="29">
        <v>7.43</v>
      </c>
      <c r="G77" s="37"/>
      <c r="H77" s="37"/>
      <c r="I77" s="37"/>
      <c r="J77" s="37"/>
      <c r="K77" s="37"/>
      <c r="L77" s="37"/>
      <c r="M77" s="37"/>
      <c r="N77" s="37"/>
      <c r="O77" s="37"/>
      <c r="P77" s="37"/>
      <c r="Q77" s="32"/>
      <c r="R77" s="32"/>
      <c r="S77" s="32"/>
      <c r="T77" s="32"/>
      <c r="U77" s="32"/>
      <c r="V77" s="32"/>
      <c r="W77" s="32"/>
      <c r="X77" s="33">
        <f t="shared" si="8"/>
        <v>7.43</v>
      </c>
      <c r="Y77" s="34" t="s">
        <v>10</v>
      </c>
      <c r="Z77" s="31"/>
      <c r="AA77" s="32">
        <v>33</v>
      </c>
      <c r="AB77" s="32"/>
      <c r="AC77" s="33"/>
      <c r="AD77" s="31"/>
      <c r="AE77" s="33"/>
      <c r="AF77" s="31"/>
      <c r="AG77" s="33"/>
      <c r="AH77" s="28">
        <f t="shared" si="7"/>
        <v>2.4519000000000002</v>
      </c>
      <c r="AI77" s="42"/>
      <c r="AJ77" s="32"/>
      <c r="AK77" s="32"/>
      <c r="AL77" s="32"/>
      <c r="AM77" s="32"/>
      <c r="AN77" s="32"/>
      <c r="AO77" s="32"/>
      <c r="AP77" s="32">
        <f>X77*AA77%</f>
        <v>2.4519000000000002</v>
      </c>
      <c r="AQ77" s="33"/>
    </row>
    <row r="78" spans="1:43" ht="15" customHeight="1" x14ac:dyDescent="0.2">
      <c r="A78" s="181"/>
      <c r="B78" s="182"/>
      <c r="C78" s="182"/>
      <c r="D78" s="183"/>
      <c r="E78" s="183"/>
      <c r="F78" s="381">
        <v>0.95</v>
      </c>
      <c r="G78" s="183"/>
      <c r="H78" s="183"/>
      <c r="I78" s="183"/>
      <c r="J78" s="183"/>
      <c r="K78" s="182"/>
      <c r="L78" s="182"/>
      <c r="M78" s="182"/>
      <c r="N78" s="182"/>
      <c r="O78" s="182"/>
      <c r="P78" s="182"/>
      <c r="Q78" s="182"/>
      <c r="R78" s="182"/>
      <c r="S78" s="182"/>
      <c r="T78" s="182"/>
      <c r="U78" s="182"/>
      <c r="V78" s="182"/>
      <c r="W78" s="182"/>
      <c r="X78" s="33">
        <f t="shared" si="8"/>
        <v>0.95</v>
      </c>
      <c r="Y78" s="184" t="s">
        <v>32</v>
      </c>
      <c r="Z78" s="181"/>
      <c r="AA78" s="32">
        <v>33</v>
      </c>
      <c r="AB78" s="182"/>
      <c r="AC78" s="186"/>
      <c r="AD78" s="31">
        <f>-AE78/$D$2%</f>
        <v>0</v>
      </c>
      <c r="AE78" s="185"/>
      <c r="AF78" s="181"/>
      <c r="AG78" s="186"/>
      <c r="AH78" s="28">
        <f t="shared" si="7"/>
        <v>0.3135</v>
      </c>
      <c r="AI78" s="187"/>
      <c r="AJ78" s="182"/>
      <c r="AK78" s="182"/>
      <c r="AL78" s="182"/>
      <c r="AM78" s="182"/>
      <c r="AN78" s="182"/>
      <c r="AO78" s="182"/>
      <c r="AP78" s="182"/>
      <c r="AQ78" s="33">
        <f>X78*AA78/100+AE78*AA78%</f>
        <v>0.3135</v>
      </c>
    </row>
    <row r="79" spans="1:43" ht="15" customHeight="1" x14ac:dyDescent="0.2">
      <c r="A79" s="181"/>
      <c r="B79" s="182"/>
      <c r="C79" s="182"/>
      <c r="D79" s="183"/>
      <c r="E79" s="183"/>
      <c r="F79" s="183"/>
      <c r="G79" s="381">
        <v>13.98</v>
      </c>
      <c r="H79" s="29">
        <v>1.4999999999999999E-2</v>
      </c>
      <c r="I79" s="183"/>
      <c r="J79" s="183"/>
      <c r="K79" s="182"/>
      <c r="L79" s="182"/>
      <c r="M79" s="182"/>
      <c r="N79" s="182"/>
      <c r="O79" s="182"/>
      <c r="P79" s="182"/>
      <c r="Q79" s="182"/>
      <c r="R79" s="182"/>
      <c r="S79" s="182"/>
      <c r="T79" s="182"/>
      <c r="U79" s="182"/>
      <c r="V79" s="182"/>
      <c r="W79" s="182"/>
      <c r="X79" s="33">
        <f t="shared" si="8"/>
        <v>13.995000000000001</v>
      </c>
      <c r="Y79" s="184" t="s">
        <v>33</v>
      </c>
      <c r="Z79" s="181"/>
      <c r="AA79" s="32">
        <v>33</v>
      </c>
      <c r="AB79" s="182"/>
      <c r="AC79" s="186"/>
      <c r="AD79" s="181"/>
      <c r="AE79" s="186"/>
      <c r="AF79" s="181"/>
      <c r="AG79" s="186"/>
      <c r="AH79" s="28">
        <f t="shared" si="7"/>
        <v>4.6183500000000004</v>
      </c>
      <c r="AI79" s="187"/>
      <c r="AJ79" s="182"/>
      <c r="AK79" s="182"/>
      <c r="AL79" s="182"/>
      <c r="AM79" s="182"/>
      <c r="AN79" s="182"/>
      <c r="AO79" s="182"/>
      <c r="AP79" s="182"/>
      <c r="AQ79" s="33">
        <f>X79*AA79/100</f>
        <v>4.6183500000000004</v>
      </c>
    </row>
    <row r="80" spans="1:43" ht="15" customHeight="1" thickBot="1" x14ac:dyDescent="0.25">
      <c r="A80" s="181"/>
      <c r="B80" s="182"/>
      <c r="C80" s="182"/>
      <c r="D80" s="381">
        <v>1E-3</v>
      </c>
      <c r="E80" s="183"/>
      <c r="F80" s="381">
        <v>2</v>
      </c>
      <c r="G80" s="183"/>
      <c r="H80" s="183"/>
      <c r="I80" s="183"/>
      <c r="J80" s="183"/>
      <c r="K80" s="182"/>
      <c r="L80" s="182"/>
      <c r="M80" s="182"/>
      <c r="N80" s="182"/>
      <c r="O80" s="182"/>
      <c r="P80" s="182"/>
      <c r="Q80" s="182"/>
      <c r="R80" s="182"/>
      <c r="S80" s="182"/>
      <c r="T80" s="182"/>
      <c r="U80" s="182"/>
      <c r="V80" s="182"/>
      <c r="W80" s="182"/>
      <c r="X80" s="186">
        <f t="shared" si="8"/>
        <v>2.0009999999999999</v>
      </c>
      <c r="Y80" s="188" t="s">
        <v>11</v>
      </c>
      <c r="Z80" s="189"/>
      <c r="AA80" s="32">
        <v>33</v>
      </c>
      <c r="AB80" s="190"/>
      <c r="AC80" s="192"/>
      <c r="AD80" s="189"/>
      <c r="AE80" s="192"/>
      <c r="AF80" s="189"/>
      <c r="AG80" s="192"/>
      <c r="AH80" s="193">
        <f t="shared" si="7"/>
        <v>0.66032999999999997</v>
      </c>
      <c r="AI80" s="194"/>
      <c r="AJ80" s="190"/>
      <c r="AK80" s="190"/>
      <c r="AL80" s="190"/>
      <c r="AM80" s="190"/>
      <c r="AN80" s="190"/>
      <c r="AO80" s="190"/>
      <c r="AP80" s="190"/>
      <c r="AQ80" s="33">
        <f>X80*AA80/100</f>
        <v>0.66032999999999997</v>
      </c>
    </row>
    <row r="81" spans="1:44" ht="15" customHeight="1" thickBot="1" x14ac:dyDescent="0.25">
      <c r="A81" s="195">
        <f t="shared" ref="A81:X81" si="10">SUM(A8:A80)</f>
        <v>36.492101701636436</v>
      </c>
      <c r="B81" s="196">
        <f t="shared" si="10"/>
        <v>0.89</v>
      </c>
      <c r="C81" s="196">
        <f t="shared" si="10"/>
        <v>0</v>
      </c>
      <c r="D81" s="196">
        <f t="shared" si="10"/>
        <v>1E-3</v>
      </c>
      <c r="E81" s="196">
        <f t="shared" si="10"/>
        <v>25.248000000000001</v>
      </c>
      <c r="F81" s="196">
        <f t="shared" si="10"/>
        <v>56.68479</v>
      </c>
      <c r="G81" s="196">
        <f t="shared" si="10"/>
        <v>13.98</v>
      </c>
      <c r="H81" s="196">
        <f t="shared" si="10"/>
        <v>18.057780000000001</v>
      </c>
      <c r="I81" s="196">
        <f t="shared" si="10"/>
        <v>0</v>
      </c>
      <c r="J81" s="196">
        <f t="shared" si="10"/>
        <v>0.5</v>
      </c>
      <c r="K81" s="196">
        <f t="shared" si="10"/>
        <v>0</v>
      </c>
      <c r="L81" s="196">
        <f t="shared" si="10"/>
        <v>19.05</v>
      </c>
      <c r="M81" s="196">
        <f t="shared" si="10"/>
        <v>0</v>
      </c>
      <c r="N81" s="196">
        <f t="shared" si="10"/>
        <v>1.0999999999999999</v>
      </c>
      <c r="O81" s="196">
        <f t="shared" si="10"/>
        <v>0</v>
      </c>
      <c r="P81" s="196">
        <f t="shared" si="10"/>
        <v>3.9024300000000003</v>
      </c>
      <c r="Q81" s="196">
        <f t="shared" si="10"/>
        <v>1.22</v>
      </c>
      <c r="R81" s="196">
        <f t="shared" si="10"/>
        <v>50.709999999999994</v>
      </c>
      <c r="S81" s="196">
        <f t="shared" si="10"/>
        <v>15.7</v>
      </c>
      <c r="T81" s="196">
        <f t="shared" si="10"/>
        <v>0</v>
      </c>
      <c r="U81" s="196">
        <f t="shared" si="10"/>
        <v>0</v>
      </c>
      <c r="V81" s="196">
        <f t="shared" si="10"/>
        <v>0</v>
      </c>
      <c r="W81" s="196">
        <f t="shared" si="10"/>
        <v>0</v>
      </c>
      <c r="X81" s="197">
        <f t="shared" si="10"/>
        <v>243.53610170163643</v>
      </c>
      <c r="Y81" s="198" t="s">
        <v>2</v>
      </c>
      <c r="Z81" s="199"/>
      <c r="AA81" s="199"/>
      <c r="AB81" s="199"/>
      <c r="AC81" s="199"/>
      <c r="AD81" s="195">
        <f t="shared" ref="AD81:AQ81" si="11">SUM(AD8:AD80)</f>
        <v>0</v>
      </c>
      <c r="AE81" s="197">
        <f t="shared" si="11"/>
        <v>50.638835412953057</v>
      </c>
      <c r="AF81" s="195">
        <f t="shared" si="11"/>
        <v>0</v>
      </c>
      <c r="AG81" s="197">
        <f t="shared" si="11"/>
        <v>16.288500000000003</v>
      </c>
      <c r="AH81" s="198">
        <f t="shared" si="11"/>
        <v>141.86706849999999</v>
      </c>
      <c r="AI81" s="201">
        <f t="shared" si="11"/>
        <v>82.734971999999999</v>
      </c>
      <c r="AJ81" s="196">
        <f t="shared" si="11"/>
        <v>4.5562355000000005</v>
      </c>
      <c r="AK81" s="196">
        <f t="shared" si="11"/>
        <v>5.916662500000001</v>
      </c>
      <c r="AL81" s="196">
        <f t="shared" si="11"/>
        <v>7.3503410000000002</v>
      </c>
      <c r="AM81" s="196">
        <f t="shared" si="11"/>
        <v>1.3528E-2</v>
      </c>
      <c r="AN81" s="196">
        <f t="shared" si="11"/>
        <v>9.6497479999999989</v>
      </c>
      <c r="AO81" s="196">
        <f t="shared" si="11"/>
        <v>0.24432750000000003</v>
      </c>
      <c r="AP81" s="196">
        <f t="shared" si="11"/>
        <v>8.0055739999999993</v>
      </c>
      <c r="AQ81" s="197">
        <f t="shared" si="11"/>
        <v>23.395679999999999</v>
      </c>
    </row>
    <row r="82" spans="1:44" ht="15" customHeight="1" x14ac:dyDescent="0.2">
      <c r="A82" s="170">
        <f t="shared" ref="A82:V82" si="12">A81*A89/1000</f>
        <v>4.5293996632071147</v>
      </c>
      <c r="B82" s="171">
        <f t="shared" si="12"/>
        <v>5.6159000000000001E-2</v>
      </c>
      <c r="C82" s="171">
        <f t="shared" si="12"/>
        <v>0</v>
      </c>
      <c r="D82" s="171">
        <f t="shared" si="12"/>
        <v>7.887999999999999E-5</v>
      </c>
      <c r="E82" s="171">
        <f t="shared" si="12"/>
        <v>1.868352</v>
      </c>
      <c r="F82" s="171">
        <f t="shared" si="12"/>
        <v>4.1946744599999999</v>
      </c>
      <c r="G82" s="171">
        <f t="shared" si="12"/>
        <v>1.0065600000000001</v>
      </c>
      <c r="H82" s="171">
        <f t="shared" si="12"/>
        <v>1.31821794</v>
      </c>
      <c r="I82" s="171">
        <f t="shared" si="12"/>
        <v>0</v>
      </c>
      <c r="J82" s="171">
        <f t="shared" si="12"/>
        <v>0</v>
      </c>
      <c r="K82" s="171">
        <f t="shared" si="12"/>
        <v>0</v>
      </c>
      <c r="L82" s="171">
        <f t="shared" si="12"/>
        <v>0</v>
      </c>
      <c r="M82" s="171">
        <f t="shared" si="12"/>
        <v>0</v>
      </c>
      <c r="N82" s="171">
        <f t="shared" si="12"/>
        <v>0</v>
      </c>
      <c r="O82" s="171">
        <f t="shared" si="12"/>
        <v>0</v>
      </c>
      <c r="P82" s="171">
        <f t="shared" si="12"/>
        <v>0</v>
      </c>
      <c r="Q82" s="171">
        <f t="shared" si="12"/>
        <v>0</v>
      </c>
      <c r="R82" s="171">
        <f t="shared" si="12"/>
        <v>0</v>
      </c>
      <c r="S82" s="171">
        <f t="shared" si="12"/>
        <v>0</v>
      </c>
      <c r="T82" s="171">
        <f t="shared" si="12"/>
        <v>0</v>
      </c>
      <c r="U82" s="171">
        <f t="shared" si="12"/>
        <v>0</v>
      </c>
      <c r="V82" s="171">
        <f t="shared" si="12"/>
        <v>0</v>
      </c>
      <c r="W82" s="171">
        <f>W81*W89/1000</f>
        <v>0</v>
      </c>
      <c r="X82" s="172">
        <f>SUM(A82:W82)</f>
        <v>12.973441943207115</v>
      </c>
      <c r="Y82" s="202" t="s">
        <v>319</v>
      </c>
      <c r="Z82" s="203">
        <f>X82*1000/D1</f>
        <v>7.1795472845639816</v>
      </c>
      <c r="AA82" s="204" t="s">
        <v>12</v>
      </c>
      <c r="AB82" s="204"/>
      <c r="AC82" s="382"/>
      <c r="AD82" s="178"/>
      <c r="AE82" s="178"/>
      <c r="AF82" s="178"/>
      <c r="AG82" s="178"/>
      <c r="AH82" s="178"/>
      <c r="AI82" s="178"/>
      <c r="AJ82" s="178"/>
      <c r="AK82" s="178"/>
      <c r="AL82" s="178"/>
      <c r="AM82" s="178"/>
      <c r="AN82" s="178"/>
      <c r="AO82" s="178"/>
      <c r="AP82" s="178"/>
      <c r="AQ82" s="178"/>
    </row>
    <row r="83" spans="1:44" ht="15" customHeight="1" x14ac:dyDescent="0.2">
      <c r="A83" s="31"/>
      <c r="B83" s="32"/>
      <c r="C83" s="32"/>
      <c r="D83" s="32"/>
      <c r="E83" s="32"/>
      <c r="F83" s="32"/>
      <c r="G83" s="32"/>
      <c r="H83" s="32"/>
      <c r="I83" s="32"/>
      <c r="J83" s="32"/>
      <c r="K83" s="32"/>
      <c r="L83" s="32"/>
      <c r="M83" s="32"/>
      <c r="N83" s="32"/>
      <c r="O83" s="29">
        <v>17.62</v>
      </c>
      <c r="P83" s="29">
        <v>28.26</v>
      </c>
      <c r="Q83" s="29">
        <v>3.58</v>
      </c>
      <c r="R83" s="29">
        <v>129.80000000000001</v>
      </c>
      <c r="S83" s="32"/>
      <c r="T83" s="32"/>
      <c r="U83" s="32"/>
      <c r="V83" s="32"/>
      <c r="W83" s="32"/>
      <c r="X83" s="33">
        <f>SUM(A83:W83)</f>
        <v>179.26000000000002</v>
      </c>
      <c r="Y83" s="28" t="s">
        <v>35</v>
      </c>
      <c r="Z83" s="25">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Z37%+AB37%)+SUM(J40:V40)*(Z40%+AB40%)+SUM(J41:V41)*(Z41%+AB41%)+SUM(J42:V42)*(Z42%+AB42%)+SUM(J44:V44)*(Z44%+AB44%)+SUM(J45:V45)*(Z45%+AB45%)+SUM(J46:V46)*(Z46%+AB46%)+SUM(J47:V47)*(Z47%+AB47%)+SUM(J48:V48)*(Z48%+AB48%)+SUM(J50:V50)*(Z50%+AB50%)+SUM(J51:V51)*(Z51%+AB51%)+SUM(J53:V53)*(Z53%+AA53%+AB53%)+SUM(J54:V54)*(Z54%+AA54%+AB54%)+SUM(J56:V56)*(Z56%+AB56%)+SUM(J57:V57)*(Z57%+AB57%)+SUM(J59:V59)*(Z59%+AB59%)+SUM(J60:V60)*(Z60%+AB60%)+SUM(J61:V61)*(Z61%+AB61%)+SUM(J63:V63)*(Z63%+AB63%)+SUM(J64:V64)*(Z64%+AB64%)+SUM(J65:V65)*(Z65%+AB65%)+SUM(J66:V66)*(Z66%+AB66%)+SUM(J67:V67)*(Z67%+AB67%)+SUM(J68:V68)*(Z68%+AB68%))/(SUM(X8:X14)+SUM(X16:X25)+SUM(X72:X80)+(AG39/AC39%+AG43/AC43%+AG52/AC52%+AG55/AC55%+AG62/AC62%+AG71/AC71%)+AE81+SUM(AE8:AE14)*(1-D2%)+(-AF70))*100</f>
        <v>44.511658114988094</v>
      </c>
      <c r="AA83" s="2" t="s">
        <v>210</v>
      </c>
      <c r="AB83" s="2"/>
      <c r="AC83" s="383"/>
      <c r="AD83" s="178"/>
      <c r="AE83" s="178"/>
      <c r="AF83" s="178"/>
      <c r="AG83" s="178"/>
      <c r="AH83" s="178"/>
      <c r="AI83" s="178"/>
      <c r="AJ83" s="178"/>
      <c r="AK83" s="178"/>
      <c r="AL83" s="178"/>
      <c r="AM83" s="178"/>
      <c r="AN83" s="178"/>
      <c r="AO83" s="178"/>
      <c r="AP83" s="178"/>
      <c r="AQ83" s="178"/>
    </row>
    <row r="84" spans="1:44" ht="15" customHeight="1" thickBot="1" x14ac:dyDescent="0.25">
      <c r="A84" s="189"/>
      <c r="B84" s="190"/>
      <c r="C84" s="190"/>
      <c r="D84" s="190"/>
      <c r="E84" s="190"/>
      <c r="F84" s="190"/>
      <c r="G84" s="190"/>
      <c r="H84" s="190"/>
      <c r="I84" s="190"/>
      <c r="J84" s="190" t="str">
        <f>IF(J83&gt;0,J81/J83*100,"")</f>
        <v/>
      </c>
      <c r="K84" s="190" t="str">
        <f t="shared" ref="K84:W84" si="13">IF(K83&gt;0,K81/K83*100,"")</f>
        <v/>
      </c>
      <c r="L84" s="190" t="str">
        <f t="shared" si="13"/>
        <v/>
      </c>
      <c r="M84" s="190" t="str">
        <f t="shared" si="13"/>
        <v/>
      </c>
      <c r="N84" s="190" t="str">
        <f t="shared" si="13"/>
        <v/>
      </c>
      <c r="O84" s="190">
        <f t="shared" si="13"/>
        <v>0</v>
      </c>
      <c r="P84" s="190">
        <f t="shared" si="13"/>
        <v>13.809023354564756</v>
      </c>
      <c r="Q84" s="190">
        <f t="shared" si="13"/>
        <v>34.07821229050279</v>
      </c>
      <c r="R84" s="190">
        <f t="shared" si="13"/>
        <v>39.067796610169481</v>
      </c>
      <c r="S84" s="190" t="str">
        <f t="shared" si="13"/>
        <v/>
      </c>
      <c r="T84" s="190" t="str">
        <f t="shared" si="13"/>
        <v/>
      </c>
      <c r="U84" s="190" t="str">
        <f t="shared" si="13"/>
        <v/>
      </c>
      <c r="V84" s="190" t="str">
        <f>IF(V83&gt;0,V81/V83*100,"")</f>
        <v/>
      </c>
      <c r="W84" s="190" t="str">
        <f t="shared" si="13"/>
        <v/>
      </c>
      <c r="X84" s="192">
        <f>SUMIF(J83:W83,"&gt;0",J81:W81)/SUM(J83:W83)%</f>
        <v>31.146061586522364</v>
      </c>
      <c r="Y84" s="193" t="s">
        <v>38</v>
      </c>
      <c r="Z84" s="384">
        <f>SUM(J81:V81)/(X81)*100</f>
        <v>37.851648833952154</v>
      </c>
      <c r="AA84" s="26" t="s">
        <v>244</v>
      </c>
      <c r="AB84" s="26"/>
      <c r="AC84" s="385"/>
      <c r="AD84" s="178"/>
      <c r="AE84" s="178"/>
      <c r="AF84" s="178"/>
      <c r="AG84" s="178"/>
      <c r="AH84" s="178"/>
      <c r="AI84" s="178"/>
      <c r="AJ84" s="178"/>
      <c r="AK84" s="178"/>
      <c r="AL84" s="178"/>
      <c r="AM84" s="178"/>
      <c r="AN84" s="178"/>
      <c r="AO84" s="178"/>
      <c r="AP84" s="178"/>
      <c r="AQ84" s="178"/>
    </row>
    <row r="85" spans="1:44" ht="15" customHeight="1" thickBo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4" ht="17.25" customHeight="1" x14ac:dyDescent="0.2">
      <c r="A86" s="386" t="s">
        <v>122</v>
      </c>
      <c r="B86" s="410" t="str">
        <f t="shared" ref="B86:W86" si="14">B7</f>
        <v xml:space="preserve">  LPG og petroleum</v>
      </c>
      <c r="C86" s="410" t="str">
        <f t="shared" si="14"/>
        <v xml:space="preserve">  Kul</v>
      </c>
      <c r="D86" s="410" t="str">
        <f t="shared" si="14"/>
        <v xml:space="preserve">  Fuelolie</v>
      </c>
      <c r="E86" s="410" t="str">
        <f t="shared" si="14"/>
        <v xml:space="preserve">  Brændselsolie</v>
      </c>
      <c r="F86" s="410" t="str">
        <f t="shared" si="14"/>
        <v xml:space="preserve">  Dieselolie</v>
      </c>
      <c r="G86" s="410" t="str">
        <f t="shared" si="14"/>
        <v xml:space="preserve">  JP1</v>
      </c>
      <c r="H86" s="410" t="str">
        <f t="shared" si="14"/>
        <v xml:space="preserve">  Benzin</v>
      </c>
      <c r="I86" s="410" t="str">
        <f t="shared" si="14"/>
        <v xml:space="preserve">  Naturgas</v>
      </c>
      <c r="J86" s="410" t="str">
        <f t="shared" si="14"/>
        <v xml:space="preserve">  Vindenergi</v>
      </c>
      <c r="K86" s="410" t="str">
        <f t="shared" si="14"/>
        <v xml:space="preserve">  Vandenergi</v>
      </c>
      <c r="L86" s="410" t="str">
        <f t="shared" si="14"/>
        <v xml:space="preserve">  Solenergi</v>
      </c>
      <c r="M86" s="410" t="str">
        <f t="shared" si="14"/>
        <v xml:space="preserve">  Geotermi</v>
      </c>
      <c r="N86" s="410" t="str">
        <f t="shared" si="14"/>
        <v xml:space="preserve">  Varmekilder til varmepumper</v>
      </c>
      <c r="O86" s="410" t="str">
        <f t="shared" si="14"/>
        <v xml:space="preserve">  Husdyrsgødning</v>
      </c>
      <c r="P86" s="410" t="str">
        <f t="shared" si="14"/>
        <v xml:space="preserve">  Biobrændstof og energiafgrøder</v>
      </c>
      <c r="Q86" s="410" t="str">
        <f t="shared" si="14"/>
        <v xml:space="preserve">  Halm</v>
      </c>
      <c r="R86" s="410" t="str">
        <f t="shared" si="14"/>
        <v xml:space="preserve">  Brænde og træflis</v>
      </c>
      <c r="S86" s="410" t="str">
        <f t="shared" si="14"/>
        <v xml:space="preserve">  Træpiller og træaffald</v>
      </c>
      <c r="T86" s="410" t="str">
        <f t="shared" si="14"/>
        <v xml:space="preserve">  Organisk affald, industri</v>
      </c>
      <c r="U86" s="410" t="str">
        <f t="shared" si="14"/>
        <v xml:space="preserve">  Organisk affald, husholdninger</v>
      </c>
      <c r="V86" s="410" t="str">
        <f t="shared" si="14"/>
        <v xml:space="preserve">  Deponi, slam, renseanlæg</v>
      </c>
      <c r="W86" s="413" t="str">
        <f t="shared" si="14"/>
        <v xml:space="preserve">  Affald, ikke bionedbrydeligt</v>
      </c>
      <c r="X86" s="3"/>
      <c r="Y86" s="3"/>
      <c r="Z86" s="3"/>
      <c r="AA86" s="3"/>
      <c r="AB86" s="3"/>
      <c r="AC86" s="3"/>
      <c r="AD86" s="3"/>
      <c r="AE86" s="3"/>
      <c r="AF86" s="3"/>
      <c r="AG86" s="3"/>
      <c r="AH86" s="3"/>
      <c r="AI86" s="3"/>
      <c r="AJ86" s="3"/>
      <c r="AK86" s="3"/>
      <c r="AL86" s="3"/>
      <c r="AM86" s="3"/>
      <c r="AN86" s="3"/>
      <c r="AO86" s="3"/>
      <c r="AP86" s="3"/>
      <c r="AQ86" s="3"/>
    </row>
    <row r="87" spans="1:44" ht="15.75" x14ac:dyDescent="0.2">
      <c r="A87" s="127">
        <v>44</v>
      </c>
      <c r="B87" s="411"/>
      <c r="C87" s="411"/>
      <c r="D87" s="411"/>
      <c r="E87" s="411"/>
      <c r="F87" s="411"/>
      <c r="G87" s="411"/>
      <c r="H87" s="411"/>
      <c r="I87" s="411"/>
      <c r="J87" s="411"/>
      <c r="K87" s="411"/>
      <c r="L87" s="411"/>
      <c r="M87" s="411"/>
      <c r="N87" s="411"/>
      <c r="O87" s="411"/>
      <c r="P87" s="411"/>
      <c r="Q87" s="411"/>
      <c r="R87" s="411"/>
      <c r="S87" s="411"/>
      <c r="T87" s="411"/>
      <c r="U87" s="411"/>
      <c r="V87" s="411"/>
      <c r="W87" s="414"/>
      <c r="X87" s="3"/>
      <c r="Y87" s="3"/>
      <c r="Z87" s="3"/>
      <c r="AA87" s="3"/>
      <c r="AB87" s="3"/>
      <c r="AC87" s="3"/>
      <c r="AD87" s="3"/>
      <c r="AE87" s="3"/>
      <c r="AF87" s="3"/>
      <c r="AG87" s="3"/>
      <c r="AH87" s="3"/>
      <c r="AI87" s="3"/>
      <c r="AJ87" s="3"/>
      <c r="AK87" s="3"/>
      <c r="AL87" s="3"/>
      <c r="AM87" s="3"/>
      <c r="AN87" s="3"/>
      <c r="AO87" s="3"/>
      <c r="AP87" s="3"/>
      <c r="AQ87" s="3"/>
    </row>
    <row r="88" spans="1:44" ht="123" customHeight="1" thickBot="1" x14ac:dyDescent="0.25">
      <c r="A88" s="208" t="s">
        <v>123</v>
      </c>
      <c r="B88" s="412"/>
      <c r="C88" s="412"/>
      <c r="D88" s="412"/>
      <c r="E88" s="412"/>
      <c r="F88" s="412"/>
      <c r="G88" s="412"/>
      <c r="H88" s="412"/>
      <c r="I88" s="412"/>
      <c r="J88" s="412"/>
      <c r="K88" s="412"/>
      <c r="L88" s="412"/>
      <c r="M88" s="412"/>
      <c r="N88" s="412"/>
      <c r="O88" s="412"/>
      <c r="P88" s="412"/>
      <c r="Q88" s="412"/>
      <c r="R88" s="412"/>
      <c r="S88" s="412"/>
      <c r="T88" s="412"/>
      <c r="U88" s="412"/>
      <c r="V88" s="412"/>
      <c r="W88" s="415"/>
      <c r="X88" s="3"/>
      <c r="Y88" s="3"/>
      <c r="Z88" s="3"/>
      <c r="AA88" s="3"/>
      <c r="AB88" s="3"/>
      <c r="AC88" s="3"/>
      <c r="AD88" s="3"/>
      <c r="AE88" s="3"/>
      <c r="AF88" s="3"/>
      <c r="AG88" s="3"/>
      <c r="AH88" s="3"/>
      <c r="AI88" s="3"/>
      <c r="AJ88" s="3"/>
      <c r="AK88" s="3"/>
      <c r="AL88" s="3"/>
      <c r="AM88" s="3"/>
      <c r="AN88" s="3"/>
      <c r="AO88" s="3"/>
      <c r="AP88" s="3"/>
      <c r="AQ88" s="3"/>
    </row>
    <row r="89" spans="1:44" s="215" customFormat="1" ht="15" customHeight="1" thickBot="1" x14ac:dyDescent="0.25">
      <c r="A89" s="129">
        <v>124.12</v>
      </c>
      <c r="B89" s="47">
        <v>63.1</v>
      </c>
      <c r="C89" s="47">
        <v>94.37</v>
      </c>
      <c r="D89" s="47">
        <v>78.88</v>
      </c>
      <c r="E89" s="47">
        <v>74</v>
      </c>
      <c r="F89" s="47">
        <v>74</v>
      </c>
      <c r="G89" s="47">
        <v>72</v>
      </c>
      <c r="H89" s="47">
        <v>73</v>
      </c>
      <c r="I89" s="47">
        <v>56.89</v>
      </c>
      <c r="J89" s="209"/>
      <c r="K89" s="209"/>
      <c r="L89" s="209"/>
      <c r="M89" s="209"/>
      <c r="N89" s="210"/>
      <c r="O89" s="209"/>
      <c r="P89" s="209"/>
      <c r="Q89" s="209"/>
      <c r="R89" s="209"/>
      <c r="S89" s="209"/>
      <c r="T89" s="209"/>
      <c r="U89" s="209"/>
      <c r="V89" s="210"/>
      <c r="W89" s="48">
        <v>82.22</v>
      </c>
      <c r="X89" s="211" t="s">
        <v>320</v>
      </c>
      <c r="Y89" s="212"/>
      <c r="Z89" s="213"/>
      <c r="AA89" s="213"/>
      <c r="AB89" s="213"/>
      <c r="AC89" s="213"/>
      <c r="AD89" s="213"/>
      <c r="AE89" s="213"/>
      <c r="AF89" s="213"/>
      <c r="AG89" s="213"/>
      <c r="AH89" s="213"/>
      <c r="AI89" s="213"/>
      <c r="AJ89" s="213"/>
      <c r="AK89" s="213"/>
      <c r="AL89" s="213"/>
      <c r="AM89" s="213"/>
      <c r="AN89" s="213"/>
      <c r="AO89" s="213"/>
      <c r="AP89" s="213"/>
      <c r="AQ89" s="213"/>
    </row>
    <row r="90" spans="1:44" x14ac:dyDescent="0.2">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row>
    <row r="91" spans="1:44" x14ac:dyDescent="0.2">
      <c r="Y91" s="174"/>
    </row>
    <row r="92" spans="1:44" x14ac:dyDescent="0.2">
      <c r="Y92" s="3"/>
    </row>
    <row r="93" spans="1:44" ht="12.75" customHeight="1" x14ac:dyDescent="0.3">
      <c r="A93" s="217"/>
      <c r="Y93" s="174"/>
    </row>
    <row r="95" spans="1:44" x14ac:dyDescent="0.2">
      <c r="Y95" s="174"/>
    </row>
    <row r="96" spans="1:44" x14ac:dyDescent="0.2">
      <c r="Y96" s="174"/>
    </row>
  </sheetData>
  <mergeCells count="30">
    <mergeCell ref="AF6:AG6"/>
    <mergeCell ref="AI6:AQ6"/>
    <mergeCell ref="Y1:Y2"/>
    <mergeCell ref="A6:X6"/>
    <mergeCell ref="Z6:AC6"/>
    <mergeCell ref="AD6:AE6"/>
    <mergeCell ref="X3:Z4"/>
    <mergeCell ref="D1:E1"/>
    <mergeCell ref="B86:B88"/>
    <mergeCell ref="C86:C88"/>
    <mergeCell ref="D86:D88"/>
    <mergeCell ref="E86:E88"/>
    <mergeCell ref="F86:F88"/>
    <mergeCell ref="G86:G88"/>
    <mergeCell ref="H86:H88"/>
    <mergeCell ref="I86:I88"/>
    <mergeCell ref="J86:J88"/>
    <mergeCell ref="K86:K88"/>
    <mergeCell ref="L86:L88"/>
    <mergeCell ref="M86:M88"/>
    <mergeCell ref="N86:N88"/>
    <mergeCell ref="O86:O88"/>
    <mergeCell ref="P86:P88"/>
    <mergeCell ref="V86:V88"/>
    <mergeCell ref="W86:W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6F4B-E561-4A0D-81E6-0D5AA4E854F9}">
  <sheetPr>
    <tabColor rgb="FF99CC33"/>
    <pageSetUpPr fitToPage="1"/>
  </sheetPr>
  <dimension ref="A1:AV96"/>
  <sheetViews>
    <sheetView showGridLines="0" showZeros="0" zoomScale="70" zoomScaleNormal="70" workbookViewId="0">
      <pane ySplit="7" topLeftCell="A8" activePane="bottomLeft" state="frozen"/>
      <selection pane="bottomLeft" activeCell="L16" sqref="L16"/>
    </sheetView>
  </sheetViews>
  <sheetFormatPr defaultColWidth="9.140625" defaultRowHeight="12.75" x14ac:dyDescent="0.2"/>
  <cols>
    <col min="1" max="23" width="7.140625" style="4" customWidth="1"/>
    <col min="24" max="24" width="8.7109375" style="4" customWidth="1"/>
    <col min="25" max="25" width="52.140625" style="4" bestFit="1" customWidth="1"/>
    <col min="26" max="28" width="5.7109375" style="4" customWidth="1"/>
    <col min="29" max="29" width="5.7109375" style="136" customWidth="1"/>
    <col min="30" max="34" width="8.7109375" style="4" customWidth="1"/>
    <col min="35" max="43" width="7.140625" style="4" customWidth="1"/>
    <col min="44" max="16384" width="9.140625" style="4"/>
  </cols>
  <sheetData>
    <row r="1" spans="1:48" ht="15" customHeight="1" x14ac:dyDescent="0.2">
      <c r="A1" s="147" t="s">
        <v>48</v>
      </c>
      <c r="B1" s="148"/>
      <c r="C1" s="148"/>
      <c r="D1" s="419">
        <v>2512</v>
      </c>
      <c r="E1" s="420"/>
      <c r="F1" s="3"/>
      <c r="G1" s="3"/>
      <c r="H1" s="3"/>
      <c r="I1" s="3"/>
      <c r="K1" s="3"/>
      <c r="L1" s="3"/>
      <c r="M1" s="3"/>
      <c r="N1" s="3"/>
      <c r="O1" s="3"/>
      <c r="P1" s="3"/>
      <c r="Q1" s="3"/>
      <c r="R1" s="3"/>
      <c r="S1" s="3"/>
      <c r="T1" s="3"/>
      <c r="U1" s="3"/>
      <c r="V1" s="149"/>
      <c r="W1" s="149"/>
      <c r="X1" s="149"/>
      <c r="Y1" s="417" t="s">
        <v>73</v>
      </c>
      <c r="Z1" s="149"/>
      <c r="AA1" s="149"/>
      <c r="AB1" s="149"/>
      <c r="AC1" s="150"/>
      <c r="AD1" s="3"/>
      <c r="AE1" s="3"/>
      <c r="AF1" s="3"/>
      <c r="AG1" s="3"/>
      <c r="AH1" s="3"/>
      <c r="AI1" s="3"/>
      <c r="AJ1" s="3"/>
      <c r="AK1" s="3"/>
      <c r="AL1" s="3"/>
      <c r="AM1" s="3"/>
      <c r="AN1" s="3"/>
      <c r="AO1" s="3"/>
      <c r="AP1" s="3"/>
      <c r="AQ1" s="3"/>
    </row>
    <row r="2" spans="1:48" ht="15" customHeight="1" x14ac:dyDescent="0.2">
      <c r="A2" s="151" t="s">
        <v>50</v>
      </c>
      <c r="B2" s="3"/>
      <c r="C2" s="3"/>
      <c r="D2" s="152">
        <v>92.61</v>
      </c>
      <c r="E2" s="153" t="s">
        <v>49</v>
      </c>
      <c r="F2" s="3"/>
      <c r="G2" s="3"/>
      <c r="H2" s="3"/>
      <c r="I2" s="3"/>
      <c r="J2" s="3"/>
      <c r="K2" s="3"/>
      <c r="L2" s="3"/>
      <c r="M2" s="3"/>
      <c r="N2" s="3"/>
      <c r="O2" s="3"/>
      <c r="P2" s="3"/>
      <c r="Q2" s="3"/>
      <c r="R2" s="3"/>
      <c r="S2" s="3"/>
      <c r="T2" s="3"/>
      <c r="U2" s="3"/>
      <c r="V2" s="149"/>
      <c r="W2" s="149"/>
      <c r="X2" s="149"/>
      <c r="Y2" s="417"/>
      <c r="Z2" s="149"/>
      <c r="AA2" s="149"/>
      <c r="AB2" s="149"/>
      <c r="AC2" s="150"/>
      <c r="AD2" s="3"/>
      <c r="AE2" s="3"/>
      <c r="AF2" s="3"/>
      <c r="AG2" s="3"/>
      <c r="AH2" s="3"/>
      <c r="AI2" s="3"/>
      <c r="AJ2" s="3"/>
      <c r="AK2" s="3"/>
      <c r="AL2" s="3"/>
      <c r="AM2" s="3"/>
      <c r="AN2" s="3"/>
      <c r="AO2" s="3"/>
      <c r="AP2" s="3"/>
      <c r="AQ2" s="3"/>
    </row>
    <row r="3" spans="1:48" ht="15" customHeight="1" thickBot="1" x14ac:dyDescent="0.25">
      <c r="A3" s="154" t="s">
        <v>46</v>
      </c>
      <c r="B3" s="5"/>
      <c r="C3" s="5"/>
      <c r="D3" s="5" t="s">
        <v>47</v>
      </c>
      <c r="E3" s="155"/>
      <c r="F3" s="3"/>
      <c r="G3" s="3"/>
      <c r="H3" s="3"/>
      <c r="I3" s="3"/>
      <c r="J3" s="3"/>
      <c r="K3" s="3"/>
      <c r="L3" s="3"/>
      <c r="M3" s="3"/>
      <c r="N3" s="3"/>
      <c r="O3" s="3"/>
      <c r="P3" s="3"/>
      <c r="Q3" s="3"/>
      <c r="R3" s="3"/>
      <c r="S3" s="3"/>
      <c r="T3" s="3"/>
      <c r="U3" s="3"/>
      <c r="V3" s="149"/>
      <c r="W3" s="149"/>
      <c r="X3" s="409" t="s">
        <v>336</v>
      </c>
      <c r="Y3" s="409"/>
      <c r="Z3" s="409"/>
      <c r="AA3" s="149"/>
      <c r="AB3" s="149"/>
      <c r="AC3" s="150"/>
      <c r="AD3" s="3"/>
      <c r="AE3" s="3"/>
      <c r="AF3" s="3"/>
      <c r="AG3" s="3"/>
      <c r="AH3" s="3"/>
      <c r="AI3" s="3"/>
      <c r="AJ3" s="3"/>
      <c r="AK3" s="3"/>
      <c r="AL3" s="3"/>
      <c r="AM3" s="3"/>
      <c r="AN3" s="3"/>
      <c r="AO3" s="3"/>
      <c r="AP3" s="3"/>
      <c r="AQ3" s="3"/>
    </row>
    <row r="4" spans="1:48" ht="15" customHeight="1" x14ac:dyDescent="0.2">
      <c r="A4" s="3"/>
      <c r="B4" s="3"/>
      <c r="C4" s="3"/>
      <c r="D4" s="3"/>
      <c r="E4" s="3"/>
      <c r="F4" s="3"/>
      <c r="G4" s="3"/>
      <c r="H4" s="3"/>
      <c r="I4" s="3"/>
      <c r="J4" s="3"/>
      <c r="K4" s="3"/>
      <c r="L4" s="3"/>
      <c r="M4" s="3"/>
      <c r="N4" s="3"/>
      <c r="O4" s="3"/>
      <c r="P4" s="3"/>
      <c r="Q4" s="3"/>
      <c r="R4" s="3"/>
      <c r="S4" s="3"/>
      <c r="T4" s="3"/>
      <c r="U4" s="3"/>
      <c r="V4" s="149"/>
      <c r="W4" s="149"/>
      <c r="X4" s="409"/>
      <c r="Y4" s="409"/>
      <c r="Z4" s="409"/>
      <c r="AA4" s="149"/>
      <c r="AB4" s="149"/>
      <c r="AC4" s="150"/>
      <c r="AD4" s="3"/>
      <c r="AE4" s="3"/>
      <c r="AF4" s="3"/>
      <c r="AG4" s="3"/>
      <c r="AH4" s="3"/>
      <c r="AI4" s="3"/>
      <c r="AJ4" s="3"/>
      <c r="AK4" s="3"/>
      <c r="AL4" s="3"/>
      <c r="AM4" s="3"/>
      <c r="AN4" s="3"/>
      <c r="AO4" s="3"/>
      <c r="AP4" s="3"/>
      <c r="AQ4" s="3"/>
    </row>
    <row r="5" spans="1:48" ht="15" customHeight="1" x14ac:dyDescent="0.2">
      <c r="A5" s="3"/>
      <c r="B5" s="3"/>
      <c r="C5" s="3"/>
      <c r="D5" s="3"/>
      <c r="E5" s="3"/>
      <c r="F5" s="3"/>
      <c r="G5" s="3"/>
      <c r="H5" s="3"/>
      <c r="I5" s="3"/>
      <c r="J5" s="3"/>
      <c r="K5" s="3"/>
      <c r="L5" s="3"/>
      <c r="M5" s="3"/>
      <c r="N5" s="3"/>
      <c r="O5" s="3"/>
      <c r="P5" s="3"/>
      <c r="Q5" s="3"/>
      <c r="R5" s="3"/>
      <c r="S5" s="3"/>
      <c r="T5" s="3"/>
      <c r="U5" s="3"/>
      <c r="V5" s="3"/>
      <c r="W5" s="3"/>
      <c r="X5" s="3"/>
      <c r="Z5" s="3"/>
      <c r="AA5" s="3"/>
      <c r="AB5" s="3"/>
      <c r="AC5" s="156"/>
      <c r="AD5" s="3"/>
      <c r="AE5" s="3"/>
      <c r="AF5" s="3"/>
      <c r="AG5" s="3"/>
      <c r="AH5" s="3"/>
      <c r="AI5" s="3"/>
      <c r="AJ5" s="3"/>
      <c r="AK5" s="3"/>
      <c r="AL5" s="3"/>
      <c r="AM5" s="3"/>
      <c r="AN5" s="3"/>
      <c r="AO5" s="3"/>
      <c r="AP5" s="3"/>
      <c r="AQ5" s="3"/>
    </row>
    <row r="6" spans="1:48" ht="15" customHeight="1" x14ac:dyDescent="0.25">
      <c r="A6" s="416" t="s">
        <v>0</v>
      </c>
      <c r="B6" s="416"/>
      <c r="C6" s="416"/>
      <c r="D6" s="416"/>
      <c r="E6" s="416"/>
      <c r="F6" s="416"/>
      <c r="G6" s="416"/>
      <c r="H6" s="416"/>
      <c r="I6" s="416"/>
      <c r="J6" s="416"/>
      <c r="K6" s="416"/>
      <c r="L6" s="416"/>
      <c r="M6" s="416"/>
      <c r="N6" s="416"/>
      <c r="O6" s="416"/>
      <c r="P6" s="416"/>
      <c r="Q6" s="416"/>
      <c r="R6" s="416"/>
      <c r="S6" s="416"/>
      <c r="T6" s="416"/>
      <c r="U6" s="416"/>
      <c r="V6" s="416"/>
      <c r="W6" s="416"/>
      <c r="X6" s="416"/>
      <c r="Y6" s="396" t="s">
        <v>51</v>
      </c>
      <c r="Z6" s="416" t="s">
        <v>104</v>
      </c>
      <c r="AA6" s="416"/>
      <c r="AB6" s="416"/>
      <c r="AC6" s="416"/>
      <c r="AD6" s="416" t="s">
        <v>53</v>
      </c>
      <c r="AE6" s="416"/>
      <c r="AF6" s="416" t="s">
        <v>52</v>
      </c>
      <c r="AG6" s="416"/>
      <c r="AH6" s="157"/>
      <c r="AI6" s="416" t="s">
        <v>1</v>
      </c>
      <c r="AJ6" s="416"/>
      <c r="AK6" s="416"/>
      <c r="AL6" s="416"/>
      <c r="AM6" s="416"/>
      <c r="AN6" s="416"/>
      <c r="AO6" s="416"/>
      <c r="AP6" s="416"/>
      <c r="AQ6" s="416"/>
    </row>
    <row r="7" spans="1:48" s="167" customFormat="1" ht="159.94999999999999" customHeight="1" thickBot="1" x14ac:dyDescent="0.65">
      <c r="A7" s="158" t="s">
        <v>74</v>
      </c>
      <c r="B7" s="159" t="s">
        <v>75</v>
      </c>
      <c r="C7" s="159" t="s">
        <v>76</v>
      </c>
      <c r="D7" s="159" t="s">
        <v>77</v>
      </c>
      <c r="E7" s="159" t="s">
        <v>78</v>
      </c>
      <c r="F7" s="159" t="s">
        <v>79</v>
      </c>
      <c r="G7" s="159" t="s">
        <v>80</v>
      </c>
      <c r="H7" s="159" t="s">
        <v>81</v>
      </c>
      <c r="I7" s="159" t="s">
        <v>82</v>
      </c>
      <c r="J7" s="159" t="s">
        <v>83</v>
      </c>
      <c r="K7" s="159" t="s">
        <v>84</v>
      </c>
      <c r="L7" s="159" t="s">
        <v>85</v>
      </c>
      <c r="M7" s="159" t="s">
        <v>86</v>
      </c>
      <c r="N7" s="159" t="s">
        <v>87</v>
      </c>
      <c r="O7" s="159" t="s">
        <v>88</v>
      </c>
      <c r="P7" s="159" t="s">
        <v>89</v>
      </c>
      <c r="Q7" s="159" t="s">
        <v>90</v>
      </c>
      <c r="R7" s="159" t="s">
        <v>91</v>
      </c>
      <c r="S7" s="159" t="s">
        <v>92</v>
      </c>
      <c r="T7" s="159" t="s">
        <v>93</v>
      </c>
      <c r="U7" s="159" t="s">
        <v>94</v>
      </c>
      <c r="V7" s="159" t="s">
        <v>95</v>
      </c>
      <c r="W7" s="159" t="s">
        <v>96</v>
      </c>
      <c r="X7" s="160" t="s">
        <v>97</v>
      </c>
      <c r="Y7" s="161"/>
      <c r="Z7" s="162" t="s">
        <v>98</v>
      </c>
      <c r="AA7" s="159" t="s">
        <v>99</v>
      </c>
      <c r="AB7" s="159" t="s">
        <v>100</v>
      </c>
      <c r="AC7" s="163" t="s">
        <v>101</v>
      </c>
      <c r="AD7" s="158" t="s">
        <v>102</v>
      </c>
      <c r="AE7" s="160" t="s">
        <v>103</v>
      </c>
      <c r="AF7" s="158" t="s">
        <v>102</v>
      </c>
      <c r="AG7" s="160" t="s">
        <v>103</v>
      </c>
      <c r="AH7" s="164" t="s">
        <v>105</v>
      </c>
      <c r="AI7" s="165" t="s">
        <v>106</v>
      </c>
      <c r="AJ7" s="159" t="s">
        <v>107</v>
      </c>
      <c r="AK7" s="159" t="s">
        <v>108</v>
      </c>
      <c r="AL7" s="159" t="s">
        <v>109</v>
      </c>
      <c r="AM7" s="159" t="s">
        <v>110</v>
      </c>
      <c r="AN7" s="159" t="s">
        <v>111</v>
      </c>
      <c r="AO7" s="166" t="s">
        <v>112</v>
      </c>
      <c r="AP7" s="166" t="s">
        <v>113</v>
      </c>
      <c r="AQ7" s="160" t="s">
        <v>114</v>
      </c>
    </row>
    <row r="8" spans="1:48" ht="15" customHeight="1" x14ac:dyDescent="0.2">
      <c r="A8" s="31"/>
      <c r="B8" s="32"/>
      <c r="C8" s="32"/>
      <c r="D8" s="32"/>
      <c r="E8" s="32"/>
      <c r="F8" s="32"/>
      <c r="G8" s="32"/>
      <c r="H8" s="32"/>
      <c r="I8" s="32"/>
      <c r="J8" s="32"/>
      <c r="K8" s="32"/>
      <c r="L8" s="32"/>
      <c r="M8" s="32"/>
      <c r="N8" s="32"/>
      <c r="O8" s="32"/>
      <c r="P8" s="32"/>
      <c r="Q8" s="32"/>
      <c r="R8" s="32"/>
      <c r="S8" s="32"/>
      <c r="T8" s="32"/>
      <c r="U8" s="32"/>
      <c r="V8" s="32"/>
      <c r="W8" s="32"/>
      <c r="X8" s="33">
        <f t="shared" ref="X8:X80" si="0">SUM(A8:W8)</f>
        <v>0</v>
      </c>
      <c r="Y8" s="34" t="s">
        <v>3</v>
      </c>
      <c r="Z8" s="31"/>
      <c r="AA8" s="32">
        <v>44</v>
      </c>
      <c r="AB8" s="32"/>
      <c r="AC8" s="35"/>
      <c r="AD8" s="36">
        <f t="shared" ref="AD8:AD14" si="1">-AE8/$D$2%</f>
        <v>-2.362790080432903</v>
      </c>
      <c r="AE8" s="35">
        <f>AH8/AA8%</f>
        <v>2.1881798934889116</v>
      </c>
      <c r="AF8" s="36"/>
      <c r="AG8" s="35"/>
      <c r="AH8" s="363">
        <f t="shared" ref="AH8:AH14" si="2">SUM(AI8:AQ8)</f>
        <v>0.9627991531351211</v>
      </c>
      <c r="AI8" s="38">
        <v>0.9627991531351211</v>
      </c>
      <c r="AJ8" s="81"/>
      <c r="AK8" s="81"/>
      <c r="AL8" s="81"/>
      <c r="AM8" s="81"/>
      <c r="AN8" s="81"/>
      <c r="AO8" s="81"/>
      <c r="AP8" s="81"/>
      <c r="AQ8" s="79"/>
    </row>
    <row r="9" spans="1:48" ht="15" customHeight="1" x14ac:dyDescent="0.2">
      <c r="A9" s="31"/>
      <c r="B9" s="32"/>
      <c r="C9" s="32"/>
      <c r="D9" s="32"/>
      <c r="E9" s="32"/>
      <c r="F9" s="32"/>
      <c r="G9" s="32"/>
      <c r="H9" s="32"/>
      <c r="I9" s="32"/>
      <c r="J9" s="32"/>
      <c r="K9" s="32"/>
      <c r="L9" s="32"/>
      <c r="M9" s="32"/>
      <c r="N9" s="32"/>
      <c r="O9" s="32"/>
      <c r="P9" s="32"/>
      <c r="Q9" s="32"/>
      <c r="R9" s="32"/>
      <c r="S9" s="32"/>
      <c r="T9" s="32"/>
      <c r="U9" s="32"/>
      <c r="V9" s="32"/>
      <c r="W9" s="32"/>
      <c r="X9" s="33">
        <f t="shared" si="0"/>
        <v>0</v>
      </c>
      <c r="Y9" s="34" t="s">
        <v>4</v>
      </c>
      <c r="Z9" s="31"/>
      <c r="AA9" s="32"/>
      <c r="AB9" s="32">
        <v>90</v>
      </c>
      <c r="AC9" s="35"/>
      <c r="AD9" s="36">
        <f t="shared" si="1"/>
        <v>-2.2571178957244702</v>
      </c>
      <c r="AE9" s="35">
        <f>AH9/AB9%</f>
        <v>2.090316883230432</v>
      </c>
      <c r="AF9" s="36"/>
      <c r="AG9" s="35"/>
      <c r="AH9" s="363">
        <f t="shared" si="2"/>
        <v>1.8812851949073888</v>
      </c>
      <c r="AI9" s="82">
        <v>1.8812851949073888</v>
      </c>
      <c r="AJ9" s="81"/>
      <c r="AK9" s="81"/>
      <c r="AL9" s="81"/>
      <c r="AM9" s="81"/>
      <c r="AN9" s="81"/>
      <c r="AO9" s="81"/>
      <c r="AP9" s="81"/>
      <c r="AQ9" s="79"/>
      <c r="AV9" s="168"/>
    </row>
    <row r="10" spans="1:48" ht="15" customHeight="1" x14ac:dyDescent="0.2">
      <c r="A10" s="31"/>
      <c r="B10" s="32"/>
      <c r="C10" s="32"/>
      <c r="D10" s="32"/>
      <c r="E10" s="32"/>
      <c r="F10" s="32"/>
      <c r="G10" s="32"/>
      <c r="H10" s="32"/>
      <c r="I10" s="32"/>
      <c r="J10" s="32"/>
      <c r="K10" s="32"/>
      <c r="L10" s="32"/>
      <c r="M10" s="32"/>
      <c r="N10" s="32"/>
      <c r="O10" s="32"/>
      <c r="P10" s="32"/>
      <c r="Q10" s="32"/>
      <c r="R10" s="32"/>
      <c r="S10" s="32"/>
      <c r="T10" s="32"/>
      <c r="U10" s="32"/>
      <c r="V10" s="32"/>
      <c r="W10" s="32"/>
      <c r="X10" s="33">
        <f t="shared" si="0"/>
        <v>0</v>
      </c>
      <c r="Y10" s="34" t="s">
        <v>5</v>
      </c>
      <c r="Z10" s="31"/>
      <c r="AA10" s="32"/>
      <c r="AB10" s="32">
        <v>100</v>
      </c>
      <c r="AC10" s="35"/>
      <c r="AD10" s="36">
        <f t="shared" si="1"/>
        <v>-9.5766287861452515</v>
      </c>
      <c r="AE10" s="35">
        <f>AH10/AB10%</f>
        <v>8.8689159188491171</v>
      </c>
      <c r="AF10" s="36"/>
      <c r="AG10" s="35"/>
      <c r="AH10" s="363">
        <f t="shared" si="2"/>
        <v>8.8689159188491171</v>
      </c>
      <c r="AI10" s="82">
        <v>8.8689159188491171</v>
      </c>
      <c r="AJ10" s="81"/>
      <c r="AK10" s="81"/>
      <c r="AL10" s="81"/>
      <c r="AM10" s="81"/>
      <c r="AN10" s="81"/>
      <c r="AO10" s="81"/>
      <c r="AP10" s="81"/>
      <c r="AQ10" s="79"/>
      <c r="AV10" s="169"/>
    </row>
    <row r="11" spans="1:48" ht="15" customHeight="1" x14ac:dyDescent="0.2">
      <c r="A11" s="31"/>
      <c r="B11" s="32"/>
      <c r="C11" s="32"/>
      <c r="D11" s="32"/>
      <c r="E11" s="32"/>
      <c r="F11" s="32"/>
      <c r="G11" s="32"/>
      <c r="H11" s="32"/>
      <c r="I11" s="32"/>
      <c r="J11" s="32"/>
      <c r="K11" s="32"/>
      <c r="L11" s="32"/>
      <c r="M11" s="32"/>
      <c r="N11" s="32"/>
      <c r="O11" s="32"/>
      <c r="P11" s="32"/>
      <c r="Q11" s="32"/>
      <c r="R11" s="32"/>
      <c r="S11" s="32"/>
      <c r="T11" s="32"/>
      <c r="U11" s="32"/>
      <c r="V11" s="32"/>
      <c r="W11" s="32"/>
      <c r="X11" s="33">
        <f t="shared" si="0"/>
        <v>0</v>
      </c>
      <c r="Y11" s="34" t="s">
        <v>18</v>
      </c>
      <c r="Z11" s="31"/>
      <c r="AA11" s="32">
        <v>50</v>
      </c>
      <c r="AB11" s="32"/>
      <c r="AC11" s="35"/>
      <c r="AD11" s="36">
        <f t="shared" si="1"/>
        <v>-6.8034486814062456</v>
      </c>
      <c r="AE11" s="35">
        <f>AH11/AA11%</f>
        <v>6.3006738238503246</v>
      </c>
      <c r="AF11" s="36"/>
      <c r="AG11" s="35"/>
      <c r="AH11" s="363">
        <f t="shared" si="2"/>
        <v>3.1503369119251623</v>
      </c>
      <c r="AI11" s="82">
        <v>1.0940899467444558</v>
      </c>
      <c r="AJ11" s="81">
        <v>0.70210831984205335</v>
      </c>
      <c r="AK11" s="81">
        <v>0.28226417354787697</v>
      </c>
      <c r="AL11" s="81">
        <v>0.57787650396598145</v>
      </c>
      <c r="AM11" s="81">
        <v>6.8894138021516659E-3</v>
      </c>
      <c r="AN11" s="81">
        <v>9.9956392505208644E-2</v>
      </c>
      <c r="AO11" s="81">
        <v>0</v>
      </c>
      <c r="AP11" s="81">
        <v>0.38715216151743431</v>
      </c>
      <c r="AQ11" s="79"/>
      <c r="AV11" s="169"/>
    </row>
    <row r="12" spans="1:48" ht="15" customHeight="1" x14ac:dyDescent="0.2">
      <c r="A12" s="31"/>
      <c r="B12" s="32"/>
      <c r="C12" s="32"/>
      <c r="D12" s="32"/>
      <c r="E12" s="32"/>
      <c r="F12" s="32"/>
      <c r="G12" s="32"/>
      <c r="H12" s="32"/>
      <c r="I12" s="32"/>
      <c r="J12" s="32"/>
      <c r="K12" s="32"/>
      <c r="L12" s="32"/>
      <c r="M12" s="32"/>
      <c r="N12" s="32"/>
      <c r="O12" s="32"/>
      <c r="P12" s="32"/>
      <c r="Q12" s="32"/>
      <c r="R12" s="32"/>
      <c r="S12" s="32"/>
      <c r="T12" s="32"/>
      <c r="U12" s="32"/>
      <c r="V12" s="32"/>
      <c r="W12" s="32"/>
      <c r="X12" s="33">
        <f t="shared" si="0"/>
        <v>0</v>
      </c>
      <c r="Y12" s="34" t="s">
        <v>19</v>
      </c>
      <c r="Z12" s="31"/>
      <c r="AA12" s="32">
        <v>150</v>
      </c>
      <c r="AB12" s="32"/>
      <c r="AC12" s="35"/>
      <c r="AD12" s="36">
        <f t="shared" si="1"/>
        <v>-5.3449542551251863</v>
      </c>
      <c r="AE12" s="35">
        <f>AH12/AA12%</f>
        <v>4.9499621356714352</v>
      </c>
      <c r="AF12" s="36"/>
      <c r="AG12" s="35"/>
      <c r="AH12" s="363">
        <f t="shared" si="2"/>
        <v>7.4249432035071532</v>
      </c>
      <c r="AI12" s="82">
        <v>3.8751960049206859</v>
      </c>
      <c r="AJ12" s="81">
        <v>0</v>
      </c>
      <c r="AK12" s="81">
        <v>0.9484076231208669</v>
      </c>
      <c r="AL12" s="81">
        <v>1.9416650533256978</v>
      </c>
      <c r="AM12" s="81">
        <v>2.7557655208606667E-2</v>
      </c>
      <c r="AN12" s="81">
        <v>0.39982557002083458</v>
      </c>
      <c r="AO12" s="81">
        <v>0</v>
      </c>
      <c r="AP12" s="81">
        <v>0.23229129691046058</v>
      </c>
      <c r="AQ12" s="79"/>
      <c r="AV12" s="169"/>
    </row>
    <row r="13" spans="1:48" ht="15" customHeight="1" x14ac:dyDescent="0.2">
      <c r="A13" s="31"/>
      <c r="B13" s="32"/>
      <c r="C13" s="32"/>
      <c r="D13" s="32"/>
      <c r="E13" s="32"/>
      <c r="F13" s="32"/>
      <c r="G13" s="32"/>
      <c r="H13" s="32"/>
      <c r="I13" s="32"/>
      <c r="J13" s="32"/>
      <c r="K13" s="32"/>
      <c r="L13" s="32"/>
      <c r="M13" s="32"/>
      <c r="N13" s="32"/>
      <c r="O13" s="32"/>
      <c r="P13" s="32"/>
      <c r="Q13" s="32"/>
      <c r="R13" s="32"/>
      <c r="S13" s="32"/>
      <c r="T13" s="32"/>
      <c r="U13" s="32"/>
      <c r="V13" s="32"/>
      <c r="W13" s="32"/>
      <c r="X13" s="33">
        <f t="shared" si="0"/>
        <v>0</v>
      </c>
      <c r="Y13" s="34" t="s">
        <v>71</v>
      </c>
      <c r="Z13" s="31"/>
      <c r="AA13" s="32">
        <v>85</v>
      </c>
      <c r="AB13" s="32"/>
      <c r="AC13" s="35"/>
      <c r="AD13" s="36">
        <f t="shared" si="1"/>
        <v>-23.198312567603278</v>
      </c>
      <c r="AE13" s="35">
        <f>AH13/AA13%</f>
        <v>21.483957268857395</v>
      </c>
      <c r="AF13" s="36"/>
      <c r="AG13" s="35"/>
      <c r="AH13" s="363">
        <f t="shared" si="2"/>
        <v>18.261363678528785</v>
      </c>
      <c r="AI13" s="82">
        <v>6.0838459683809454</v>
      </c>
      <c r="AJ13" s="81">
        <v>3.2270978700888455</v>
      </c>
      <c r="AK13" s="81">
        <v>0.90211629865901466</v>
      </c>
      <c r="AL13" s="81">
        <v>1.8468933066752762</v>
      </c>
      <c r="AM13" s="81">
        <v>0.16787204964576224</v>
      </c>
      <c r="AN13" s="81">
        <v>2.4356040973769173</v>
      </c>
      <c r="AO13" s="81">
        <v>0</v>
      </c>
      <c r="AP13" s="81">
        <v>3.5979340877020225</v>
      </c>
      <c r="AQ13" s="79">
        <v>0</v>
      </c>
      <c r="AV13" s="169"/>
    </row>
    <row r="14" spans="1:48" ht="15" customHeight="1" x14ac:dyDescent="0.2">
      <c r="A14" s="31"/>
      <c r="B14" s="38"/>
      <c r="C14" s="38"/>
      <c r="D14" s="38"/>
      <c r="E14" s="38"/>
      <c r="F14" s="38"/>
      <c r="G14" s="38"/>
      <c r="H14" s="38"/>
      <c r="I14" s="38"/>
      <c r="J14" s="38"/>
      <c r="K14" s="38"/>
      <c r="L14" s="38"/>
      <c r="M14" s="38"/>
      <c r="N14" s="38">
        <f>AH14-AE14</f>
        <v>0</v>
      </c>
      <c r="O14" s="38"/>
      <c r="P14" s="38"/>
      <c r="Q14" s="38"/>
      <c r="R14" s="38"/>
      <c r="S14" s="38"/>
      <c r="T14" s="38"/>
      <c r="U14" s="38"/>
      <c r="V14" s="32"/>
      <c r="W14" s="32"/>
      <c r="X14" s="33">
        <f t="shared" si="0"/>
        <v>0</v>
      </c>
      <c r="Y14" s="34" t="s">
        <v>54</v>
      </c>
      <c r="Z14" s="31"/>
      <c r="AA14" s="32"/>
      <c r="AB14" s="32">
        <v>250</v>
      </c>
      <c r="AC14" s="35"/>
      <c r="AD14" s="36">
        <f t="shared" si="1"/>
        <v>0</v>
      </c>
      <c r="AE14" s="79">
        <v>0</v>
      </c>
      <c r="AF14" s="36"/>
      <c r="AG14" s="35"/>
      <c r="AH14" s="363">
        <f t="shared" si="2"/>
        <v>0</v>
      </c>
      <c r="AI14" s="39">
        <f>AE14*AB14/100</f>
        <v>0</v>
      </c>
      <c r="AJ14" s="38"/>
      <c r="AK14" s="38"/>
      <c r="AL14" s="38"/>
      <c r="AM14" s="38"/>
      <c r="AN14" s="38"/>
      <c r="AO14" s="38"/>
      <c r="AP14" s="38"/>
      <c r="AQ14" s="35"/>
      <c r="AV14" s="169"/>
    </row>
    <row r="15" spans="1:48" ht="15" customHeight="1" x14ac:dyDescent="0.2">
      <c r="A15" s="31">
        <f>Z15%*AD15</f>
        <v>47.766958828937334</v>
      </c>
      <c r="B15" s="38"/>
      <c r="C15" s="38"/>
      <c r="D15" s="38"/>
      <c r="E15" s="38"/>
      <c r="F15" s="38"/>
      <c r="G15" s="38"/>
      <c r="H15" s="38"/>
      <c r="I15" s="38"/>
      <c r="J15" s="38"/>
      <c r="K15" s="38"/>
      <c r="L15" s="38"/>
      <c r="M15" s="38"/>
      <c r="N15" s="38"/>
      <c r="O15" s="38"/>
      <c r="P15" s="38"/>
      <c r="Q15" s="38"/>
      <c r="R15" s="38"/>
      <c r="S15" s="38"/>
      <c r="T15" s="38"/>
      <c r="U15" s="38"/>
      <c r="V15" s="32"/>
      <c r="W15" s="32"/>
      <c r="X15" s="33">
        <f t="shared" si="0"/>
        <v>47.766958828937334</v>
      </c>
      <c r="Y15" s="34" t="s">
        <v>34</v>
      </c>
      <c r="Z15" s="31">
        <v>100</v>
      </c>
      <c r="AA15" s="32"/>
      <c r="AB15" s="32"/>
      <c r="AC15" s="35"/>
      <c r="AD15" s="36">
        <f>-SUM(AD16:AD80,AD8:AD14)</f>
        <v>47.766958828937334</v>
      </c>
      <c r="AE15" s="35"/>
      <c r="AF15" s="36"/>
      <c r="AG15" s="35"/>
      <c r="AH15" s="363">
        <f t="shared" ref="AH15:AH52" si="3">SUM(AI15:AQ15)</f>
        <v>0</v>
      </c>
      <c r="AI15" s="36"/>
      <c r="AJ15" s="38"/>
      <c r="AK15" s="38"/>
      <c r="AL15" s="38"/>
      <c r="AM15" s="38"/>
      <c r="AN15" s="38"/>
      <c r="AO15" s="38"/>
      <c r="AP15" s="38"/>
      <c r="AQ15" s="35"/>
      <c r="AV15" s="169"/>
    </row>
    <row r="16" spans="1:48" ht="15" customHeight="1" x14ac:dyDescent="0.2">
      <c r="A16" s="170"/>
      <c r="B16" s="350">
        <v>4.5725275630431774</v>
      </c>
      <c r="C16" s="40"/>
      <c r="D16" s="40"/>
      <c r="E16" s="40"/>
      <c r="F16" s="40"/>
      <c r="G16" s="40"/>
      <c r="H16" s="40"/>
      <c r="I16" s="40"/>
      <c r="J16" s="40"/>
      <c r="K16" s="40"/>
      <c r="L16" s="40"/>
      <c r="M16" s="40"/>
      <c r="N16" s="40"/>
      <c r="O16" s="40"/>
      <c r="P16" s="40"/>
      <c r="Q16" s="40"/>
      <c r="R16" s="40"/>
      <c r="S16" s="40"/>
      <c r="T16" s="40"/>
      <c r="U16" s="40"/>
      <c r="V16" s="171"/>
      <c r="W16" s="171"/>
      <c r="X16" s="172">
        <f t="shared" si="0"/>
        <v>4.5725275630431774</v>
      </c>
      <c r="Y16" s="41" t="s">
        <v>72</v>
      </c>
      <c r="Z16" s="170"/>
      <c r="AA16" s="171"/>
      <c r="AB16" s="40">
        <v>38</v>
      </c>
      <c r="AC16" s="173"/>
      <c r="AD16" s="367"/>
      <c r="AE16" s="173"/>
      <c r="AF16" s="367"/>
      <c r="AG16" s="173"/>
      <c r="AH16" s="363">
        <f t="shared" si="3"/>
        <v>1.733911596961099</v>
      </c>
      <c r="AI16" s="91">
        <f>X16*AB16/100*0.158</f>
        <v>0.27453455488511236</v>
      </c>
      <c r="AJ16" s="89">
        <f>X16*AB16/100*0.0067</f>
        <v>1.164165517550793E-2</v>
      </c>
      <c r="AK16" s="89">
        <f>X16*AB16/100*0.01</f>
        <v>1.7375604739564076E-2</v>
      </c>
      <c r="AL16" s="89">
        <f>X16*AB16/100*0.0022</f>
        <v>3.8226330427040965E-3</v>
      </c>
      <c r="AM16" s="89">
        <f>X16*AB16/100*0.118</f>
        <v>0.20503213592685607</v>
      </c>
      <c r="AN16" s="89">
        <f>X16*AB16/100*0.479</f>
        <v>0.83229146702511914</v>
      </c>
      <c r="AO16" s="89"/>
      <c r="AP16" s="89">
        <f>X16*AB16/100*0.115</f>
        <v>0.19981945450498687</v>
      </c>
      <c r="AQ16" s="92">
        <f>X16*AB16/100*0.109</f>
        <v>0.1893940916612484</v>
      </c>
      <c r="AV16" s="169"/>
    </row>
    <row r="17" spans="1:48" ht="15" customHeight="1" x14ac:dyDescent="0.2">
      <c r="A17" s="31"/>
      <c r="B17" s="38"/>
      <c r="C17" s="38"/>
      <c r="D17" s="38"/>
      <c r="E17" s="81">
        <v>93.87</v>
      </c>
      <c r="F17" s="38"/>
      <c r="G17" s="38"/>
      <c r="H17" s="38"/>
      <c r="I17" s="38"/>
      <c r="J17" s="38"/>
      <c r="K17" s="38"/>
      <c r="L17" s="38"/>
      <c r="M17" s="38"/>
      <c r="N17" s="38"/>
      <c r="O17" s="38"/>
      <c r="P17" s="38"/>
      <c r="Q17" s="38"/>
      <c r="R17" s="38"/>
      <c r="S17" s="38"/>
      <c r="T17" s="38"/>
      <c r="U17" s="38"/>
      <c r="V17" s="38"/>
      <c r="W17" s="38"/>
      <c r="X17" s="33">
        <f t="shared" si="0"/>
        <v>93.87</v>
      </c>
      <c r="Y17" s="34" t="s">
        <v>55</v>
      </c>
      <c r="Z17" s="31"/>
      <c r="AA17" s="32"/>
      <c r="AB17" s="38">
        <v>80</v>
      </c>
      <c r="AC17" s="35"/>
      <c r="AD17" s="36"/>
      <c r="AE17" s="35"/>
      <c r="AF17" s="36"/>
      <c r="AG17" s="35"/>
      <c r="AH17" s="363">
        <f t="shared" si="3"/>
        <v>75.096000000000004</v>
      </c>
      <c r="AI17" s="39">
        <f t="shared" ref="AI17:AI22" si="4">X17*AB17/100</f>
        <v>75.096000000000004</v>
      </c>
      <c r="AJ17" s="38"/>
      <c r="AK17" s="38"/>
      <c r="AL17" s="38"/>
      <c r="AM17" s="38"/>
      <c r="AN17" s="38"/>
      <c r="AO17" s="38"/>
      <c r="AP17" s="38"/>
      <c r="AQ17" s="35"/>
      <c r="AS17" s="169"/>
    </row>
    <row r="18" spans="1:48" ht="15" customHeight="1" x14ac:dyDescent="0.2">
      <c r="A18" s="31"/>
      <c r="B18" s="38"/>
      <c r="C18" s="38"/>
      <c r="D18" s="38"/>
      <c r="E18" s="38"/>
      <c r="F18" s="38"/>
      <c r="G18" s="38"/>
      <c r="H18" s="38"/>
      <c r="I18" s="81"/>
      <c r="J18" s="38"/>
      <c r="K18" s="38"/>
      <c r="L18" s="38"/>
      <c r="M18" s="38"/>
      <c r="N18" s="38"/>
      <c r="O18" s="38"/>
      <c r="P18" s="38"/>
      <c r="Q18" s="38"/>
      <c r="R18" s="38"/>
      <c r="S18" s="38"/>
      <c r="T18" s="38"/>
      <c r="U18" s="38"/>
      <c r="V18" s="38"/>
      <c r="W18" s="38"/>
      <c r="X18" s="33">
        <f t="shared" si="0"/>
        <v>0</v>
      </c>
      <c r="Y18" s="34" t="s">
        <v>56</v>
      </c>
      <c r="Z18" s="31"/>
      <c r="AA18" s="32"/>
      <c r="AB18" s="38">
        <v>85</v>
      </c>
      <c r="AC18" s="35"/>
      <c r="AD18" s="31"/>
      <c r="AE18" s="33"/>
      <c r="AF18" s="31"/>
      <c r="AG18" s="33"/>
      <c r="AH18" s="28">
        <f t="shared" si="3"/>
        <v>0</v>
      </c>
      <c r="AI18" s="42">
        <f t="shared" si="4"/>
        <v>0</v>
      </c>
      <c r="AJ18" s="32"/>
      <c r="AK18" s="32"/>
      <c r="AL18" s="32"/>
      <c r="AM18" s="32"/>
      <c r="AN18" s="32"/>
      <c r="AO18" s="32"/>
      <c r="AP18" s="32"/>
      <c r="AQ18" s="33"/>
      <c r="AS18" s="169"/>
    </row>
    <row r="19" spans="1:48" ht="15" customHeight="1" x14ac:dyDescent="0.2">
      <c r="A19" s="31"/>
      <c r="B19" s="32"/>
      <c r="C19" s="38"/>
      <c r="D19" s="38"/>
      <c r="E19" s="38"/>
      <c r="F19" s="38"/>
      <c r="G19" s="38"/>
      <c r="H19" s="38"/>
      <c r="I19" s="81"/>
      <c r="J19" s="38"/>
      <c r="K19" s="38"/>
      <c r="L19" s="38"/>
      <c r="M19" s="38"/>
      <c r="N19" s="38"/>
      <c r="O19" s="38"/>
      <c r="P19" s="38"/>
      <c r="Q19" s="81"/>
      <c r="R19" s="81"/>
      <c r="S19" s="81">
        <v>0.05</v>
      </c>
      <c r="T19" s="38"/>
      <c r="U19" s="38"/>
      <c r="V19" s="38"/>
      <c r="W19" s="38"/>
      <c r="X19" s="33">
        <f t="shared" si="0"/>
        <v>0.05</v>
      </c>
      <c r="Y19" s="34" t="s">
        <v>57</v>
      </c>
      <c r="Z19" s="31"/>
      <c r="AA19" s="32"/>
      <c r="AB19" s="38">
        <v>75</v>
      </c>
      <c r="AC19" s="35"/>
      <c r="AD19" s="31"/>
      <c r="AE19" s="33"/>
      <c r="AF19" s="31"/>
      <c r="AG19" s="33"/>
      <c r="AH19" s="28">
        <f t="shared" si="3"/>
        <v>3.7499999999999999E-2</v>
      </c>
      <c r="AI19" s="42">
        <f t="shared" si="4"/>
        <v>3.7499999999999999E-2</v>
      </c>
      <c r="AJ19" s="32"/>
      <c r="AK19" s="32"/>
      <c r="AL19" s="32"/>
      <c r="AM19" s="32"/>
      <c r="AN19" s="32"/>
      <c r="AO19" s="32"/>
      <c r="AP19" s="32"/>
      <c r="AQ19" s="33"/>
      <c r="AV19" s="169"/>
    </row>
    <row r="20" spans="1:48" ht="15" customHeight="1" x14ac:dyDescent="0.2">
      <c r="A20" s="31"/>
      <c r="B20" s="32"/>
      <c r="C20" s="38"/>
      <c r="D20" s="38"/>
      <c r="E20" s="38"/>
      <c r="F20" s="38"/>
      <c r="G20" s="38"/>
      <c r="H20" s="38"/>
      <c r="I20" s="81"/>
      <c r="J20" s="38"/>
      <c r="K20" s="38"/>
      <c r="L20" s="38"/>
      <c r="M20" s="38"/>
      <c r="N20" s="38"/>
      <c r="O20" s="38"/>
      <c r="P20" s="38"/>
      <c r="Q20" s="81"/>
      <c r="R20" s="81">
        <v>10.23</v>
      </c>
      <c r="S20" s="81"/>
      <c r="T20" s="38"/>
      <c r="U20" s="38"/>
      <c r="V20" s="38"/>
      <c r="W20" s="38"/>
      <c r="X20" s="33">
        <f t="shared" si="0"/>
        <v>10.23</v>
      </c>
      <c r="Y20" s="34" t="s">
        <v>58</v>
      </c>
      <c r="Z20" s="31"/>
      <c r="AA20" s="32"/>
      <c r="AB20" s="38">
        <v>65</v>
      </c>
      <c r="AC20" s="35"/>
      <c r="AD20" s="31"/>
      <c r="AE20" s="33"/>
      <c r="AF20" s="31"/>
      <c r="AG20" s="33"/>
      <c r="AH20" s="28">
        <f t="shared" si="3"/>
        <v>6.6495000000000006</v>
      </c>
      <c r="AI20" s="42">
        <f t="shared" si="4"/>
        <v>6.6495000000000006</v>
      </c>
      <c r="AJ20" s="32"/>
      <c r="AK20" s="32"/>
      <c r="AL20" s="32"/>
      <c r="AM20" s="32"/>
      <c r="AN20" s="32"/>
      <c r="AO20" s="32"/>
      <c r="AP20" s="32"/>
      <c r="AQ20" s="33"/>
      <c r="AS20" s="169"/>
    </row>
    <row r="21" spans="1:48" ht="15" customHeight="1" x14ac:dyDescent="0.2">
      <c r="A21" s="31"/>
      <c r="B21" s="32"/>
      <c r="C21" s="38"/>
      <c r="D21" s="38"/>
      <c r="E21" s="38"/>
      <c r="F21" s="38"/>
      <c r="G21" s="38"/>
      <c r="H21" s="38"/>
      <c r="I21" s="81"/>
      <c r="J21" s="38"/>
      <c r="K21" s="38"/>
      <c r="L21" s="38"/>
      <c r="M21" s="38"/>
      <c r="N21" s="38"/>
      <c r="O21" s="38"/>
      <c r="P21" s="38"/>
      <c r="Q21" s="81">
        <v>2.13</v>
      </c>
      <c r="R21" s="81"/>
      <c r="S21" s="81"/>
      <c r="T21" s="38"/>
      <c r="U21" s="38"/>
      <c r="V21" s="38"/>
      <c r="W21" s="38"/>
      <c r="X21" s="33">
        <f t="shared" si="0"/>
        <v>2.13</v>
      </c>
      <c r="Y21" s="34" t="s">
        <v>59</v>
      </c>
      <c r="Z21" s="31"/>
      <c r="AA21" s="32"/>
      <c r="AB21" s="38">
        <v>65</v>
      </c>
      <c r="AC21" s="35"/>
      <c r="AD21" s="31"/>
      <c r="AE21" s="33"/>
      <c r="AF21" s="31"/>
      <c r="AG21" s="33"/>
      <c r="AH21" s="28">
        <f t="shared" si="3"/>
        <v>1.3844999999999998</v>
      </c>
      <c r="AI21" s="42">
        <f t="shared" si="4"/>
        <v>1.3844999999999998</v>
      </c>
      <c r="AJ21" s="32"/>
      <c r="AK21" s="32"/>
      <c r="AL21" s="32"/>
      <c r="AM21" s="32"/>
      <c r="AN21" s="32"/>
      <c r="AO21" s="32"/>
      <c r="AP21" s="32"/>
      <c r="AQ21" s="33"/>
      <c r="AS21" s="169"/>
    </row>
    <row r="22" spans="1:48" ht="15" customHeight="1" x14ac:dyDescent="0.2">
      <c r="A22" s="31"/>
      <c r="B22" s="32"/>
      <c r="C22" s="38"/>
      <c r="D22" s="38"/>
      <c r="E22" s="38"/>
      <c r="F22" s="38"/>
      <c r="G22" s="38"/>
      <c r="H22" s="38"/>
      <c r="I22" s="81"/>
      <c r="J22" s="38"/>
      <c r="K22" s="38"/>
      <c r="L22" s="81">
        <v>9.0274497405664747E-2</v>
      </c>
      <c r="M22" s="38"/>
      <c r="N22" s="38"/>
      <c r="O22" s="38"/>
      <c r="P22" s="38"/>
      <c r="Q22" s="38"/>
      <c r="R22" s="38"/>
      <c r="S22" s="38"/>
      <c r="T22" s="38"/>
      <c r="U22" s="38"/>
      <c r="V22" s="38"/>
      <c r="W22" s="38"/>
      <c r="X22" s="33">
        <f t="shared" si="0"/>
        <v>9.0274497405664747E-2</v>
      </c>
      <c r="Y22" s="34" t="s">
        <v>6</v>
      </c>
      <c r="Z22" s="31"/>
      <c r="AA22" s="32"/>
      <c r="AB22" s="32">
        <v>100</v>
      </c>
      <c r="AC22" s="35"/>
      <c r="AD22" s="31"/>
      <c r="AE22" s="33"/>
      <c r="AF22" s="31"/>
      <c r="AG22" s="33"/>
      <c r="AH22" s="28">
        <f t="shared" si="3"/>
        <v>9.0274497405664747E-2</v>
      </c>
      <c r="AI22" s="42">
        <f t="shared" si="4"/>
        <v>9.0274497405664747E-2</v>
      </c>
      <c r="AJ22" s="32"/>
      <c r="AK22" s="32"/>
      <c r="AL22" s="32"/>
      <c r="AM22" s="32"/>
      <c r="AN22" s="32"/>
      <c r="AO22" s="32"/>
      <c r="AP22" s="32"/>
      <c r="AQ22" s="33"/>
      <c r="AV22" s="169"/>
    </row>
    <row r="23" spans="1:48" ht="15" customHeight="1" x14ac:dyDescent="0.2">
      <c r="A23" s="31"/>
      <c r="B23" s="32"/>
      <c r="C23" s="38"/>
      <c r="D23" s="38"/>
      <c r="E23" s="81">
        <v>0</v>
      </c>
      <c r="F23" s="38"/>
      <c r="G23" s="38"/>
      <c r="H23" s="38"/>
      <c r="I23" s="81"/>
      <c r="J23" s="38"/>
      <c r="K23" s="38"/>
      <c r="L23" s="38"/>
      <c r="M23" s="38"/>
      <c r="N23" s="38"/>
      <c r="O23" s="38"/>
      <c r="P23" s="38"/>
      <c r="Q23" s="38"/>
      <c r="R23" s="38"/>
      <c r="S23" s="38"/>
      <c r="T23" s="38"/>
      <c r="U23" s="38"/>
      <c r="V23" s="38"/>
      <c r="W23" s="38"/>
      <c r="X23" s="33">
        <f t="shared" si="0"/>
        <v>0</v>
      </c>
      <c r="Y23" s="34" t="s">
        <v>60</v>
      </c>
      <c r="Z23" s="31"/>
      <c r="AA23" s="32">
        <v>90</v>
      </c>
      <c r="AB23" s="32"/>
      <c r="AC23" s="35"/>
      <c r="AD23" s="31"/>
      <c r="AE23" s="33"/>
      <c r="AF23" s="31"/>
      <c r="AG23" s="33"/>
      <c r="AH23" s="28">
        <f t="shared" si="3"/>
        <v>0</v>
      </c>
      <c r="AI23" s="42"/>
      <c r="AJ23" s="32"/>
      <c r="AK23" s="32"/>
      <c r="AL23" s="32"/>
      <c r="AM23" s="32"/>
      <c r="AN23" s="32">
        <f>X23*AA23/100</f>
        <v>0</v>
      </c>
      <c r="AO23" s="32"/>
      <c r="AP23" s="32"/>
      <c r="AQ23" s="33"/>
      <c r="AV23" s="169"/>
    </row>
    <row r="24" spans="1:48" ht="15" customHeight="1" x14ac:dyDescent="0.2">
      <c r="A24" s="31"/>
      <c r="B24" s="32"/>
      <c r="C24" s="38"/>
      <c r="D24" s="38"/>
      <c r="E24" s="38"/>
      <c r="F24" s="38"/>
      <c r="G24" s="38"/>
      <c r="H24" s="38"/>
      <c r="I24" s="81"/>
      <c r="J24" s="38"/>
      <c r="K24" s="38"/>
      <c r="L24" s="38"/>
      <c r="M24" s="38"/>
      <c r="N24" s="38"/>
      <c r="O24" s="38"/>
      <c r="P24" s="38"/>
      <c r="Q24" s="38"/>
      <c r="R24" s="38"/>
      <c r="S24" s="38"/>
      <c r="T24" s="38"/>
      <c r="U24" s="38"/>
      <c r="V24" s="38"/>
      <c r="W24" s="38"/>
      <c r="X24" s="33">
        <f t="shared" si="0"/>
        <v>0</v>
      </c>
      <c r="Y24" s="34" t="s">
        <v>61</v>
      </c>
      <c r="Z24" s="31"/>
      <c r="AA24" s="32">
        <v>90</v>
      </c>
      <c r="AB24" s="32"/>
      <c r="AC24" s="35"/>
      <c r="AD24" s="31"/>
      <c r="AE24" s="33"/>
      <c r="AF24" s="31"/>
      <c r="AG24" s="33"/>
      <c r="AH24" s="28">
        <f t="shared" si="3"/>
        <v>0</v>
      </c>
      <c r="AI24" s="42"/>
      <c r="AJ24" s="32"/>
      <c r="AK24" s="32"/>
      <c r="AL24" s="32"/>
      <c r="AM24" s="32"/>
      <c r="AN24" s="32">
        <f>X24*AA24/100</f>
        <v>0</v>
      </c>
      <c r="AO24" s="32"/>
      <c r="AP24" s="32"/>
      <c r="AQ24" s="33"/>
      <c r="AS24" s="169"/>
    </row>
    <row r="25" spans="1:48" ht="15" customHeight="1" x14ac:dyDescent="0.2">
      <c r="A25" s="31"/>
      <c r="B25" s="32"/>
      <c r="C25" s="81"/>
      <c r="D25" s="81"/>
      <c r="E25" s="81"/>
      <c r="F25" s="81"/>
      <c r="G25" s="81"/>
      <c r="H25" s="81"/>
      <c r="I25" s="81"/>
      <c r="J25" s="81"/>
      <c r="K25" s="81"/>
      <c r="L25" s="81"/>
      <c r="M25" s="81"/>
      <c r="N25" s="81"/>
      <c r="O25" s="81"/>
      <c r="P25" s="81"/>
      <c r="Q25" s="81"/>
      <c r="R25" s="81"/>
      <c r="S25" s="81">
        <v>12.55</v>
      </c>
      <c r="T25" s="81"/>
      <c r="U25" s="81"/>
      <c r="V25" s="81"/>
      <c r="W25" s="81"/>
      <c r="X25" s="33">
        <f t="shared" si="0"/>
        <v>12.55</v>
      </c>
      <c r="Y25" s="34" t="s">
        <v>260</v>
      </c>
      <c r="Z25" s="31"/>
      <c r="AA25" s="32">
        <v>90</v>
      </c>
      <c r="AB25" s="32"/>
      <c r="AC25" s="35"/>
      <c r="AD25" s="31"/>
      <c r="AE25" s="33"/>
      <c r="AF25" s="31"/>
      <c r="AG25" s="33"/>
      <c r="AH25" s="28">
        <f t="shared" si="3"/>
        <v>11.295</v>
      </c>
      <c r="AI25" s="42"/>
      <c r="AJ25" s="32"/>
      <c r="AK25" s="32"/>
      <c r="AL25" s="32"/>
      <c r="AM25" s="32"/>
      <c r="AN25" s="32">
        <f>X25*AA25/100</f>
        <v>11.295</v>
      </c>
      <c r="AO25" s="32"/>
      <c r="AP25" s="32"/>
      <c r="AQ25" s="33"/>
      <c r="AR25" s="174"/>
      <c r="AS25" s="169"/>
    </row>
    <row r="26" spans="1:48" ht="15" customHeight="1" x14ac:dyDescent="0.2">
      <c r="A26" s="31"/>
      <c r="B26" s="32"/>
      <c r="C26" s="38"/>
      <c r="D26" s="38"/>
      <c r="E26" s="38"/>
      <c r="F26" s="38"/>
      <c r="G26" s="38"/>
      <c r="H26" s="38"/>
      <c r="I26" s="38"/>
      <c r="J26" s="38"/>
      <c r="K26" s="38"/>
      <c r="L26" s="38">
        <v>0</v>
      </c>
      <c r="M26" s="38"/>
      <c r="N26" s="38"/>
      <c r="O26" s="38"/>
      <c r="P26" s="38"/>
      <c r="Q26" s="38"/>
      <c r="R26" s="38"/>
      <c r="S26" s="38"/>
      <c r="T26" s="38"/>
      <c r="U26" s="38"/>
      <c r="V26" s="38"/>
      <c r="W26" s="38"/>
      <c r="X26" s="33">
        <f t="shared" si="0"/>
        <v>0</v>
      </c>
      <c r="Y26" s="34" t="s">
        <v>45</v>
      </c>
      <c r="Z26" s="32">
        <v>100</v>
      </c>
      <c r="AA26" s="32"/>
      <c r="AB26" s="32"/>
      <c r="AC26" s="35"/>
      <c r="AD26" s="31">
        <f>X26*Z26/100</f>
        <v>0</v>
      </c>
      <c r="AE26" s="33"/>
      <c r="AF26" s="31"/>
      <c r="AG26" s="33"/>
      <c r="AH26" s="28">
        <f t="shared" si="3"/>
        <v>0</v>
      </c>
      <c r="AI26" s="42"/>
      <c r="AJ26" s="32"/>
      <c r="AK26" s="32"/>
      <c r="AL26" s="32"/>
      <c r="AM26" s="32"/>
      <c r="AN26" s="32"/>
      <c r="AO26" s="32"/>
      <c r="AP26" s="32"/>
      <c r="AQ26" s="33"/>
      <c r="AV26" s="169"/>
    </row>
    <row r="27" spans="1:48" ht="15" customHeight="1" x14ac:dyDescent="0.2">
      <c r="A27" s="31"/>
      <c r="B27" s="32"/>
      <c r="C27" s="32"/>
      <c r="D27" s="32"/>
      <c r="E27" s="32"/>
      <c r="F27" s="32"/>
      <c r="G27" s="32"/>
      <c r="H27" s="38"/>
      <c r="I27" s="38"/>
      <c r="J27" s="175">
        <v>1.7762934374999999</v>
      </c>
      <c r="K27" s="38"/>
      <c r="L27" s="38"/>
      <c r="M27" s="38"/>
      <c r="N27" s="38"/>
      <c r="O27" s="38"/>
      <c r="P27" s="38"/>
      <c r="Q27" s="38"/>
      <c r="R27" s="38"/>
      <c r="S27" s="38"/>
      <c r="T27" s="38"/>
      <c r="U27" s="38"/>
      <c r="V27" s="38"/>
      <c r="W27" s="38"/>
      <c r="X27" s="33">
        <f t="shared" si="0"/>
        <v>1.7762934374999999</v>
      </c>
      <c r="Y27" s="34" t="s">
        <v>62</v>
      </c>
      <c r="Z27" s="32">
        <v>100</v>
      </c>
      <c r="AA27" s="32"/>
      <c r="AB27" s="32"/>
      <c r="AC27" s="35"/>
      <c r="AD27" s="31">
        <f>Z27*X27/100</f>
        <v>1.7762934375000001</v>
      </c>
      <c r="AE27" s="33"/>
      <c r="AF27" s="31"/>
      <c r="AG27" s="33"/>
      <c r="AH27" s="28">
        <f t="shared" si="3"/>
        <v>0</v>
      </c>
      <c r="AI27" s="42"/>
      <c r="AJ27" s="32"/>
      <c r="AK27" s="32"/>
      <c r="AL27" s="32"/>
      <c r="AM27" s="32"/>
      <c r="AN27" s="32"/>
      <c r="AO27" s="32"/>
      <c r="AP27" s="32"/>
      <c r="AQ27" s="33"/>
      <c r="AV27" s="169"/>
    </row>
    <row r="28" spans="1:48" ht="15" customHeight="1" x14ac:dyDescent="0.2">
      <c r="A28" s="31"/>
      <c r="B28" s="32"/>
      <c r="C28" s="32"/>
      <c r="D28" s="32"/>
      <c r="E28" s="32"/>
      <c r="F28" s="32"/>
      <c r="G28" s="32"/>
      <c r="H28" s="38"/>
      <c r="I28" s="38"/>
      <c r="J28" s="38">
        <v>0</v>
      </c>
      <c r="K28" s="38"/>
      <c r="L28" s="38"/>
      <c r="M28" s="38"/>
      <c r="N28" s="38"/>
      <c r="O28" s="38"/>
      <c r="P28" s="38"/>
      <c r="Q28" s="38"/>
      <c r="R28" s="38"/>
      <c r="S28" s="38"/>
      <c r="T28" s="38"/>
      <c r="U28" s="38"/>
      <c r="V28" s="38"/>
      <c r="W28" s="38"/>
      <c r="X28" s="33">
        <f t="shared" si="0"/>
        <v>0</v>
      </c>
      <c r="Y28" s="34" t="s">
        <v>124</v>
      </c>
      <c r="Z28" s="36">
        <v>100</v>
      </c>
      <c r="AA28" s="38"/>
      <c r="AB28" s="38"/>
      <c r="AC28" s="35"/>
      <c r="AD28" s="36">
        <f>Z28*X28/100</f>
        <v>0</v>
      </c>
      <c r="AE28" s="35"/>
      <c r="AF28" s="31"/>
      <c r="AG28" s="33"/>
      <c r="AH28" s="28">
        <f t="shared" si="3"/>
        <v>0</v>
      </c>
      <c r="AI28" s="42"/>
      <c r="AJ28" s="32"/>
      <c r="AK28" s="32"/>
      <c r="AL28" s="32"/>
      <c r="AM28" s="32"/>
      <c r="AN28" s="32"/>
      <c r="AO28" s="32"/>
      <c r="AP28" s="32"/>
      <c r="AQ28" s="33"/>
    </row>
    <row r="29" spans="1:48" ht="15" customHeight="1" x14ac:dyDescent="0.2">
      <c r="A29" s="31"/>
      <c r="B29" s="32"/>
      <c r="C29" s="32"/>
      <c r="D29" s="32"/>
      <c r="E29" s="32"/>
      <c r="F29" s="32"/>
      <c r="G29" s="32"/>
      <c r="H29" s="38"/>
      <c r="I29" s="38"/>
      <c r="J29" s="38"/>
      <c r="K29" s="38"/>
      <c r="L29" s="38"/>
      <c r="M29" s="38"/>
      <c r="N29" s="38"/>
      <c r="O29" s="38"/>
      <c r="P29" s="38"/>
      <c r="Q29" s="38"/>
      <c r="R29" s="38"/>
      <c r="S29" s="38"/>
      <c r="T29" s="38"/>
      <c r="U29" s="38"/>
      <c r="V29" s="38"/>
      <c r="W29" s="38"/>
      <c r="X29" s="33">
        <f t="shared" si="0"/>
        <v>0</v>
      </c>
      <c r="Y29" s="34" t="s">
        <v>7</v>
      </c>
      <c r="Z29" s="38">
        <v>100</v>
      </c>
      <c r="AA29" s="38"/>
      <c r="AB29" s="38"/>
      <c r="AC29" s="35"/>
      <c r="AD29" s="36">
        <f>Z29*X29/100</f>
        <v>0</v>
      </c>
      <c r="AE29" s="35"/>
      <c r="AF29" s="31"/>
      <c r="AG29" s="33"/>
      <c r="AH29" s="28">
        <f t="shared" si="3"/>
        <v>0</v>
      </c>
      <c r="AI29" s="42"/>
      <c r="AJ29" s="32"/>
      <c r="AK29" s="32"/>
      <c r="AL29" s="32"/>
      <c r="AM29" s="32"/>
      <c r="AN29" s="32"/>
      <c r="AO29" s="32"/>
      <c r="AP29" s="32"/>
      <c r="AQ29" s="33"/>
    </row>
    <row r="30" spans="1:48" ht="15" customHeight="1" x14ac:dyDescent="0.2">
      <c r="A30" s="31"/>
      <c r="B30" s="32"/>
      <c r="C30" s="32"/>
      <c r="D30" s="32"/>
      <c r="E30" s="32"/>
      <c r="F30" s="32"/>
      <c r="G30" s="32"/>
      <c r="H30" s="38"/>
      <c r="I30" s="38"/>
      <c r="J30" s="38"/>
      <c r="K30" s="38"/>
      <c r="L30" s="38"/>
      <c r="M30" s="38"/>
      <c r="N30" s="38"/>
      <c r="O30" s="38"/>
      <c r="P30" s="38"/>
      <c r="Q30" s="38"/>
      <c r="R30" s="38"/>
      <c r="S30" s="38"/>
      <c r="T30" s="38"/>
      <c r="U30" s="38"/>
      <c r="V30" s="38"/>
      <c r="W30" s="38"/>
      <c r="X30" s="33">
        <f t="shared" si="0"/>
        <v>0</v>
      </c>
      <c r="Y30" s="34" t="s">
        <v>8</v>
      </c>
      <c r="Z30" s="38">
        <v>100</v>
      </c>
      <c r="AA30" s="38"/>
      <c r="AB30" s="38"/>
      <c r="AC30" s="35"/>
      <c r="AD30" s="36">
        <f>Z30*X30/100</f>
        <v>0</v>
      </c>
      <c r="AE30" s="35"/>
      <c r="AF30" s="31"/>
      <c r="AG30" s="33"/>
      <c r="AH30" s="28">
        <f t="shared" si="3"/>
        <v>0</v>
      </c>
      <c r="AI30" s="42"/>
      <c r="AJ30" s="32"/>
      <c r="AK30" s="32"/>
      <c r="AL30" s="32"/>
      <c r="AM30" s="32"/>
      <c r="AN30" s="32"/>
      <c r="AO30" s="32"/>
      <c r="AP30" s="32"/>
      <c r="AQ30" s="33"/>
    </row>
    <row r="31" spans="1:48" s="1" customFormat="1" ht="15" customHeight="1" x14ac:dyDescent="0.2">
      <c r="A31" s="93"/>
      <c r="B31" s="32"/>
      <c r="C31" s="32"/>
      <c r="D31" s="32"/>
      <c r="E31" s="32"/>
      <c r="F31" s="32"/>
      <c r="G31" s="32"/>
      <c r="H31" s="38"/>
      <c r="I31" s="38"/>
      <c r="J31" s="38"/>
      <c r="K31" s="38"/>
      <c r="L31" s="38"/>
      <c r="M31" s="38"/>
      <c r="N31" s="38"/>
      <c r="O31" s="38"/>
      <c r="P31" s="38"/>
      <c r="Q31" s="38"/>
      <c r="R31" s="38"/>
      <c r="S31" s="38"/>
      <c r="T31" s="38"/>
      <c r="U31" s="81"/>
      <c r="V31" s="81"/>
      <c r="W31" s="81"/>
      <c r="X31" s="33">
        <f t="shared" si="0"/>
        <v>0</v>
      </c>
      <c r="Y31" s="27" t="s">
        <v>216</v>
      </c>
      <c r="Z31" s="82"/>
      <c r="AA31" s="81"/>
      <c r="AB31" s="81"/>
      <c r="AC31" s="79"/>
      <c r="AD31" s="78"/>
      <c r="AE31" s="79"/>
      <c r="AF31" s="76"/>
      <c r="AG31" s="46"/>
      <c r="AH31" s="43"/>
      <c r="AI31" s="93"/>
      <c r="AJ31" s="77"/>
      <c r="AK31" s="77"/>
      <c r="AL31" s="77"/>
      <c r="AM31" s="77"/>
      <c r="AN31" s="77"/>
      <c r="AO31" s="77"/>
      <c r="AP31" s="77"/>
      <c r="AQ31" s="46"/>
    </row>
    <row r="32" spans="1:48" ht="15" customHeight="1" x14ac:dyDescent="0.2">
      <c r="A32" s="32"/>
      <c r="B32" s="32"/>
      <c r="C32" s="235"/>
      <c r="D32" s="235"/>
      <c r="E32" s="235"/>
      <c r="F32" s="235"/>
      <c r="G32" s="235"/>
      <c r="H32" s="351"/>
      <c r="I32" s="351"/>
      <c r="J32" s="351"/>
      <c r="K32" s="351"/>
      <c r="L32" s="351"/>
      <c r="M32" s="351"/>
      <c r="N32" s="81"/>
      <c r="O32" s="351"/>
      <c r="P32" s="351"/>
      <c r="Q32" s="351"/>
      <c r="R32" s="351"/>
      <c r="S32" s="351"/>
      <c r="T32" s="351"/>
      <c r="U32" s="351"/>
      <c r="V32" s="351"/>
      <c r="W32" s="351"/>
      <c r="X32" s="33">
        <f t="shared" si="0"/>
        <v>0</v>
      </c>
      <c r="Y32" s="27" t="s">
        <v>215</v>
      </c>
      <c r="Z32" s="78"/>
      <c r="AA32" s="81"/>
      <c r="AB32" s="81"/>
      <c r="AC32" s="79"/>
      <c r="AD32" s="36">
        <f>X32*Z32/100</f>
        <v>0</v>
      </c>
      <c r="AE32" s="35"/>
      <c r="AF32" s="36">
        <f>X32*AB32/100</f>
        <v>0</v>
      </c>
      <c r="AG32" s="35"/>
      <c r="AH32" s="28">
        <f>SUM(AI32:AQ32)</f>
        <v>0</v>
      </c>
      <c r="AI32" s="42"/>
      <c r="AJ32" s="81"/>
      <c r="AK32" s="77"/>
      <c r="AL32" s="77"/>
      <c r="AM32" s="77"/>
      <c r="AN32" s="77"/>
      <c r="AO32" s="77"/>
      <c r="AP32" s="81"/>
      <c r="AQ32" s="33"/>
    </row>
    <row r="33" spans="1:44" ht="15" customHeight="1" x14ac:dyDescent="0.2">
      <c r="A33" s="32"/>
      <c r="B33" s="32"/>
      <c r="C33" s="177"/>
      <c r="D33" s="351"/>
      <c r="E33" s="351"/>
      <c r="F33" s="351"/>
      <c r="G33" s="351"/>
      <c r="H33" s="351"/>
      <c r="I33" s="351"/>
      <c r="J33" s="351"/>
      <c r="K33" s="351"/>
      <c r="L33" s="351"/>
      <c r="M33" s="351"/>
      <c r="N33" s="351"/>
      <c r="O33" s="351"/>
      <c r="P33" s="351"/>
      <c r="Q33" s="351"/>
      <c r="R33" s="351"/>
      <c r="S33" s="351"/>
      <c r="T33" s="351"/>
      <c r="U33" s="351"/>
      <c r="V33" s="351"/>
      <c r="W33" s="351"/>
      <c r="X33" s="33">
        <f t="shared" si="0"/>
        <v>0</v>
      </c>
      <c r="Y33" s="34" t="s">
        <v>39</v>
      </c>
      <c r="Z33" s="78"/>
      <c r="AA33" s="81"/>
      <c r="AB33" s="81"/>
      <c r="AC33" s="35"/>
      <c r="AD33" s="36">
        <f>X33*Z33/100</f>
        <v>0</v>
      </c>
      <c r="AE33" s="35"/>
      <c r="AF33" s="31">
        <f>X33*AB33/100</f>
        <v>0</v>
      </c>
      <c r="AG33" s="33"/>
      <c r="AH33" s="28">
        <f t="shared" si="3"/>
        <v>0</v>
      </c>
      <c r="AI33" s="42"/>
      <c r="AJ33" s="32"/>
      <c r="AK33" s="32"/>
      <c r="AL33" s="32"/>
      <c r="AM33" s="32"/>
      <c r="AN33" s="32"/>
      <c r="AO33" s="32"/>
      <c r="AP33" s="32"/>
      <c r="AQ33" s="33"/>
    </row>
    <row r="34" spans="1:44" ht="15" customHeight="1" x14ac:dyDescent="0.2">
      <c r="A34" s="32"/>
      <c r="B34" s="32"/>
      <c r="C34" s="351"/>
      <c r="D34" s="351"/>
      <c r="E34" s="351"/>
      <c r="F34" s="351"/>
      <c r="G34" s="351"/>
      <c r="H34" s="351"/>
      <c r="I34" s="351"/>
      <c r="J34" s="351"/>
      <c r="K34" s="351"/>
      <c r="L34" s="351"/>
      <c r="M34" s="351"/>
      <c r="N34" s="351"/>
      <c r="O34" s="351"/>
      <c r="P34" s="351"/>
      <c r="Q34" s="351"/>
      <c r="R34" s="351"/>
      <c r="S34" s="351"/>
      <c r="T34" s="351"/>
      <c r="U34" s="351"/>
      <c r="V34" s="351"/>
      <c r="W34" s="351"/>
      <c r="X34" s="33">
        <f t="shared" si="0"/>
        <v>0</v>
      </c>
      <c r="Y34" s="34" t="s">
        <v>40</v>
      </c>
      <c r="Z34" s="78"/>
      <c r="AA34" s="81"/>
      <c r="AB34" s="81"/>
      <c r="AC34" s="35"/>
      <c r="AD34" s="36">
        <f>X34*Z34/100</f>
        <v>0</v>
      </c>
      <c r="AE34" s="35"/>
      <c r="AF34" s="31">
        <f>X34*AB34</f>
        <v>0</v>
      </c>
      <c r="AG34" s="33"/>
      <c r="AH34" s="28">
        <f t="shared" si="3"/>
        <v>0</v>
      </c>
      <c r="AI34" s="42"/>
      <c r="AJ34" s="32"/>
      <c r="AK34" s="32"/>
      <c r="AL34" s="32"/>
      <c r="AM34" s="32"/>
      <c r="AN34" s="32"/>
      <c r="AO34" s="32"/>
      <c r="AP34" s="32"/>
      <c r="AQ34" s="33"/>
    </row>
    <row r="35" spans="1:44" ht="15" customHeight="1" x14ac:dyDescent="0.2">
      <c r="A35" s="32"/>
      <c r="B35" s="32"/>
      <c r="C35" s="351"/>
      <c r="D35" s="351"/>
      <c r="E35" s="95"/>
      <c r="F35" s="351"/>
      <c r="G35" s="351"/>
      <c r="H35" s="351"/>
      <c r="I35" s="351"/>
      <c r="J35" s="351"/>
      <c r="K35" s="351"/>
      <c r="L35" s="351"/>
      <c r="M35" s="351"/>
      <c r="N35" s="351"/>
      <c r="O35" s="351"/>
      <c r="P35" s="351"/>
      <c r="Q35" s="351"/>
      <c r="R35" s="351"/>
      <c r="S35" s="351"/>
      <c r="T35" s="351"/>
      <c r="U35" s="351"/>
      <c r="V35" s="351"/>
      <c r="W35" s="351"/>
      <c r="X35" s="33">
        <f t="shared" si="0"/>
        <v>0</v>
      </c>
      <c r="Y35" s="34" t="s">
        <v>41</v>
      </c>
      <c r="Z35" s="78"/>
      <c r="AA35" s="81"/>
      <c r="AB35" s="81"/>
      <c r="AC35" s="35"/>
      <c r="AD35" s="36">
        <f>X35*Z35/100</f>
        <v>0</v>
      </c>
      <c r="AE35" s="35"/>
      <c r="AF35" s="31">
        <f>X35*AB35</f>
        <v>0</v>
      </c>
      <c r="AG35" s="33"/>
      <c r="AH35" s="28">
        <f t="shared" si="3"/>
        <v>0</v>
      </c>
      <c r="AI35" s="42"/>
      <c r="AJ35" s="32"/>
      <c r="AK35" s="32"/>
      <c r="AL35" s="32"/>
      <c r="AM35" s="32"/>
      <c r="AN35" s="32"/>
      <c r="AO35" s="32"/>
      <c r="AP35" s="32"/>
      <c r="AQ35" s="33"/>
    </row>
    <row r="36" spans="1:44" ht="15" customHeight="1" x14ac:dyDescent="0.2">
      <c r="A36" s="32"/>
      <c r="B36" s="32"/>
      <c r="C36" s="351"/>
      <c r="D36" s="351"/>
      <c r="E36" s="351"/>
      <c r="F36" s="351"/>
      <c r="G36" s="351"/>
      <c r="H36" s="351"/>
      <c r="I36" s="351"/>
      <c r="J36" s="351"/>
      <c r="K36" s="351"/>
      <c r="L36" s="351"/>
      <c r="M36" s="351"/>
      <c r="N36" s="351"/>
      <c r="O36" s="351"/>
      <c r="P36" s="351"/>
      <c r="Q36" s="351"/>
      <c r="R36" s="351"/>
      <c r="S36" s="351"/>
      <c r="T36" s="351"/>
      <c r="U36" s="351"/>
      <c r="V36" s="351"/>
      <c r="W36" s="351"/>
      <c r="X36" s="33">
        <f t="shared" si="0"/>
        <v>0</v>
      </c>
      <c r="Y36" s="34" t="s">
        <v>42</v>
      </c>
      <c r="Z36" s="78"/>
      <c r="AA36" s="81"/>
      <c r="AB36" s="81"/>
      <c r="AC36" s="35"/>
      <c r="AD36" s="36"/>
      <c r="AE36" s="35"/>
      <c r="AF36" s="31">
        <f>X36*AB36/100</f>
        <v>0</v>
      </c>
      <c r="AG36" s="33"/>
      <c r="AH36" s="28">
        <f t="shared" si="3"/>
        <v>0</v>
      </c>
      <c r="AI36" s="42"/>
      <c r="AJ36" s="32"/>
      <c r="AK36" s="32"/>
      <c r="AL36" s="32"/>
      <c r="AM36" s="32"/>
      <c r="AN36" s="32"/>
      <c r="AO36" s="32"/>
      <c r="AP36" s="32"/>
      <c r="AQ36" s="33"/>
    </row>
    <row r="37" spans="1:44" s="1" customFormat="1" ht="15" customHeight="1" x14ac:dyDescent="0.2">
      <c r="A37" s="77"/>
      <c r="B37" s="77"/>
      <c r="C37" s="77"/>
      <c r="D37" s="81"/>
      <c r="E37" s="81"/>
      <c r="F37" s="81"/>
      <c r="G37" s="81"/>
      <c r="H37" s="81"/>
      <c r="I37" s="81"/>
      <c r="J37" s="81"/>
      <c r="K37" s="81"/>
      <c r="L37" s="81"/>
      <c r="M37" s="81"/>
      <c r="N37" s="38"/>
      <c r="O37" s="81"/>
      <c r="P37" s="81"/>
      <c r="Q37" s="81"/>
      <c r="R37" s="81"/>
      <c r="S37" s="81"/>
      <c r="T37" s="81"/>
      <c r="U37" s="81"/>
      <c r="V37" s="81"/>
      <c r="W37" s="81"/>
      <c r="X37" s="33">
        <f t="shared" si="0"/>
        <v>0</v>
      </c>
      <c r="Y37" s="27" t="s">
        <v>213</v>
      </c>
      <c r="Z37" s="36"/>
      <c r="AA37" s="38"/>
      <c r="AB37" s="38"/>
      <c r="AC37" s="35"/>
      <c r="AD37" s="78">
        <f>-AE37/$D$2%</f>
        <v>0</v>
      </c>
      <c r="AE37" s="44"/>
      <c r="AF37" s="45">
        <f>AE37*AB37%</f>
        <v>0</v>
      </c>
      <c r="AG37" s="46"/>
      <c r="AH37" s="43"/>
      <c r="AI37" s="93"/>
      <c r="AJ37" s="93"/>
      <c r="AK37" s="77"/>
      <c r="AL37" s="77"/>
      <c r="AM37" s="77"/>
      <c r="AN37" s="77"/>
      <c r="AO37" s="77"/>
      <c r="AP37" s="77"/>
      <c r="AQ37" s="46"/>
    </row>
    <row r="38" spans="1:44" ht="15" customHeight="1" x14ac:dyDescent="0.2">
      <c r="A38" s="77"/>
      <c r="B38" s="77"/>
      <c r="C38" s="77"/>
      <c r="D38" s="81"/>
      <c r="E38" s="81"/>
      <c r="F38" s="81"/>
      <c r="G38" s="81"/>
      <c r="H38" s="81"/>
      <c r="I38" s="81"/>
      <c r="J38" s="81"/>
      <c r="K38" s="81"/>
      <c r="L38" s="81"/>
      <c r="M38" s="81"/>
      <c r="N38" s="81"/>
      <c r="O38" s="81"/>
      <c r="P38" s="81"/>
      <c r="Q38" s="81"/>
      <c r="R38" s="81"/>
      <c r="S38" s="81"/>
      <c r="T38" s="81"/>
      <c r="U38" s="81"/>
      <c r="V38" s="81"/>
      <c r="W38" s="81"/>
      <c r="X38" s="33">
        <f t="shared" si="0"/>
        <v>0</v>
      </c>
      <c r="Y38" s="27" t="s">
        <v>214</v>
      </c>
      <c r="Z38" s="36"/>
      <c r="AA38" s="38"/>
      <c r="AB38" s="38"/>
      <c r="AC38" s="35"/>
      <c r="AD38" s="78">
        <f>-AE38/$D$2%</f>
        <v>0</v>
      </c>
      <c r="AE38" s="35"/>
      <c r="AF38" s="36">
        <f>AE38*AB38%</f>
        <v>0</v>
      </c>
      <c r="AG38" s="46"/>
      <c r="AH38" s="43"/>
      <c r="AI38" s="93"/>
      <c r="AJ38" s="93"/>
      <c r="AK38" s="77"/>
      <c r="AL38" s="77"/>
      <c r="AM38" s="77"/>
      <c r="AN38" s="77"/>
      <c r="AO38" s="77"/>
      <c r="AP38" s="77"/>
      <c r="AQ38" s="46"/>
    </row>
    <row r="39" spans="1:44" ht="15" customHeight="1" x14ac:dyDescent="0.2">
      <c r="A39" s="32"/>
      <c r="B39" s="32"/>
      <c r="C39" s="351"/>
      <c r="D39" s="351"/>
      <c r="E39" s="351"/>
      <c r="F39" s="351"/>
      <c r="G39" s="351"/>
      <c r="H39" s="351"/>
      <c r="I39" s="351"/>
      <c r="J39" s="351"/>
      <c r="K39" s="351"/>
      <c r="L39" s="351"/>
      <c r="M39" s="351"/>
      <c r="N39" s="351"/>
      <c r="O39" s="351"/>
      <c r="P39" s="351"/>
      <c r="Q39" s="351"/>
      <c r="R39" s="351"/>
      <c r="S39" s="351"/>
      <c r="T39" s="351"/>
      <c r="U39" s="351"/>
      <c r="V39" s="351"/>
      <c r="W39" s="351"/>
      <c r="X39" s="33">
        <f t="shared" si="0"/>
        <v>0</v>
      </c>
      <c r="Y39" s="34" t="s">
        <v>63</v>
      </c>
      <c r="Z39" s="78"/>
      <c r="AA39" s="81"/>
      <c r="AB39" s="81"/>
      <c r="AC39" s="79">
        <f>100-25</f>
        <v>75</v>
      </c>
      <c r="AD39" s="36"/>
      <c r="AE39" s="35"/>
      <c r="AF39" s="31">
        <f>-SUM(AF33:AF36)</f>
        <v>0</v>
      </c>
      <c r="AG39" s="33">
        <f>-AF39*AC39/100</f>
        <v>0</v>
      </c>
      <c r="AH39" s="28">
        <f>SUM(AI39:AQ39)</f>
        <v>0</v>
      </c>
      <c r="AI39" s="42">
        <f>AG39*62.71%</f>
        <v>0</v>
      </c>
      <c r="AJ39" s="42">
        <f>AG39*9.72%</f>
        <v>0</v>
      </c>
      <c r="AK39" s="32">
        <f>AG39*12.13%</f>
        <v>0</v>
      </c>
      <c r="AL39" s="32">
        <f>AG39*7.13%</f>
        <v>0</v>
      </c>
      <c r="AM39" s="32">
        <f>AG39*0%</f>
        <v>0</v>
      </c>
      <c r="AN39" s="32">
        <f>AG39*6.34%</f>
        <v>0</v>
      </c>
      <c r="AO39" s="32">
        <f>AG39*1.97%</f>
        <v>0</v>
      </c>
      <c r="AP39" s="32"/>
      <c r="AQ39" s="33"/>
      <c r="AR39" s="178"/>
    </row>
    <row r="40" spans="1:44" ht="15" customHeight="1" x14ac:dyDescent="0.2">
      <c r="A40" s="32"/>
      <c r="B40" s="32"/>
      <c r="C40" s="351"/>
      <c r="D40" s="351"/>
      <c r="E40" s="351"/>
      <c r="F40" s="351"/>
      <c r="G40" s="351"/>
      <c r="H40" s="351"/>
      <c r="I40" s="351"/>
      <c r="J40" s="351"/>
      <c r="K40" s="351"/>
      <c r="L40" s="351"/>
      <c r="M40" s="351"/>
      <c r="N40" s="351"/>
      <c r="O40" s="351"/>
      <c r="P40" s="351"/>
      <c r="Q40" s="351"/>
      <c r="R40" s="351"/>
      <c r="S40" s="351"/>
      <c r="T40" s="351"/>
      <c r="U40" s="351"/>
      <c r="V40" s="351"/>
      <c r="W40" s="351"/>
      <c r="X40" s="33">
        <f t="shared" si="0"/>
        <v>0</v>
      </c>
      <c r="Y40" s="34" t="s">
        <v>13</v>
      </c>
      <c r="Z40" s="78"/>
      <c r="AA40" s="81"/>
      <c r="AB40" s="81"/>
      <c r="AC40" s="79"/>
      <c r="AD40" s="36">
        <f>X40*Z40/100</f>
        <v>0</v>
      </c>
      <c r="AE40" s="35"/>
      <c r="AF40" s="31">
        <f>X40*AB40/100</f>
        <v>0</v>
      </c>
      <c r="AG40" s="33"/>
      <c r="AH40" s="28">
        <f t="shared" si="3"/>
        <v>0</v>
      </c>
      <c r="AI40" s="93"/>
      <c r="AJ40" s="77"/>
      <c r="AK40" s="77"/>
      <c r="AL40" s="77"/>
      <c r="AM40" s="77"/>
      <c r="AN40" s="77"/>
      <c r="AO40" s="77"/>
      <c r="AP40" s="32"/>
      <c r="AQ40" s="33"/>
    </row>
    <row r="41" spans="1:44" ht="15" customHeight="1" x14ac:dyDescent="0.2">
      <c r="A41" s="32"/>
      <c r="B41" s="32"/>
      <c r="C41" s="351"/>
      <c r="D41" s="351"/>
      <c r="E41" s="351"/>
      <c r="F41" s="351"/>
      <c r="G41" s="351"/>
      <c r="H41" s="351"/>
      <c r="I41" s="351"/>
      <c r="J41" s="351"/>
      <c r="K41" s="351"/>
      <c r="L41" s="351"/>
      <c r="M41" s="351"/>
      <c r="N41" s="351"/>
      <c r="O41" s="351"/>
      <c r="P41" s="351"/>
      <c r="Q41" s="351"/>
      <c r="R41" s="351"/>
      <c r="S41" s="351"/>
      <c r="T41" s="351"/>
      <c r="U41" s="351"/>
      <c r="V41" s="351"/>
      <c r="W41" s="351"/>
      <c r="X41" s="33">
        <f t="shared" si="0"/>
        <v>0</v>
      </c>
      <c r="Y41" s="34" t="s">
        <v>14</v>
      </c>
      <c r="Z41" s="78"/>
      <c r="AA41" s="81"/>
      <c r="AB41" s="81"/>
      <c r="AC41" s="79"/>
      <c r="AD41" s="36">
        <f>X41*Z41/100</f>
        <v>0</v>
      </c>
      <c r="AE41" s="35"/>
      <c r="AF41" s="31">
        <f>X41*AB41/100</f>
        <v>0</v>
      </c>
      <c r="AG41" s="33"/>
      <c r="AH41" s="28">
        <f t="shared" si="3"/>
        <v>0</v>
      </c>
      <c r="AI41" s="93"/>
      <c r="AJ41" s="77"/>
      <c r="AK41" s="77"/>
      <c r="AL41" s="77"/>
      <c r="AM41" s="77"/>
      <c r="AN41" s="77"/>
      <c r="AO41" s="77"/>
      <c r="AP41" s="32"/>
      <c r="AQ41" s="33"/>
    </row>
    <row r="42" spans="1:44" ht="15" customHeight="1" x14ac:dyDescent="0.2">
      <c r="A42" s="32"/>
      <c r="B42" s="32"/>
      <c r="C42" s="351"/>
      <c r="D42" s="351"/>
      <c r="E42" s="351"/>
      <c r="F42" s="351"/>
      <c r="G42" s="351"/>
      <c r="H42" s="351"/>
      <c r="I42" s="351"/>
      <c r="J42" s="351"/>
      <c r="K42" s="351"/>
      <c r="L42" s="351"/>
      <c r="M42" s="351"/>
      <c r="N42" s="351"/>
      <c r="O42" s="351"/>
      <c r="P42" s="351"/>
      <c r="Q42" s="351"/>
      <c r="R42" s="351"/>
      <c r="S42" s="351"/>
      <c r="T42" s="351"/>
      <c r="U42" s="351"/>
      <c r="V42" s="351"/>
      <c r="W42" s="351"/>
      <c r="X42" s="33">
        <f t="shared" si="0"/>
        <v>0</v>
      </c>
      <c r="Y42" s="34" t="s">
        <v>15</v>
      </c>
      <c r="Z42" s="78"/>
      <c r="AA42" s="81"/>
      <c r="AB42" s="81"/>
      <c r="AC42" s="79"/>
      <c r="AD42" s="36">
        <f>X42*Z42/100</f>
        <v>0</v>
      </c>
      <c r="AE42" s="35"/>
      <c r="AF42" s="31">
        <f>X42*AB42/100</f>
        <v>0</v>
      </c>
      <c r="AG42" s="33"/>
      <c r="AH42" s="28">
        <f t="shared" si="3"/>
        <v>0</v>
      </c>
      <c r="AI42" s="93"/>
      <c r="AJ42" s="77"/>
      <c r="AK42" s="77"/>
      <c r="AL42" s="77"/>
      <c r="AM42" s="77"/>
      <c r="AN42" s="77"/>
      <c r="AO42" s="77"/>
      <c r="AP42" s="32"/>
      <c r="AQ42" s="33"/>
    </row>
    <row r="43" spans="1:44" ht="15" customHeight="1" x14ac:dyDescent="0.2">
      <c r="A43" s="32"/>
      <c r="B43" s="32"/>
      <c r="C43" s="351"/>
      <c r="D43" s="351"/>
      <c r="E43" s="351"/>
      <c r="F43" s="351"/>
      <c r="G43" s="351"/>
      <c r="H43" s="351"/>
      <c r="I43" s="351"/>
      <c r="J43" s="351"/>
      <c r="K43" s="351"/>
      <c r="L43" s="351"/>
      <c r="M43" s="351"/>
      <c r="N43" s="351"/>
      <c r="O43" s="351"/>
      <c r="P43" s="351"/>
      <c r="Q43" s="351"/>
      <c r="R43" s="351"/>
      <c r="S43" s="351"/>
      <c r="T43" s="351"/>
      <c r="U43" s="351"/>
      <c r="V43" s="351"/>
      <c r="W43" s="351"/>
      <c r="X43" s="33">
        <f t="shared" si="0"/>
        <v>0</v>
      </c>
      <c r="Y43" s="34" t="s">
        <v>64</v>
      </c>
      <c r="Z43" s="78"/>
      <c r="AA43" s="81"/>
      <c r="AB43" s="81"/>
      <c r="AC43" s="79">
        <f>100-25</f>
        <v>75</v>
      </c>
      <c r="AD43" s="36"/>
      <c r="AE43" s="35"/>
      <c r="AF43" s="31">
        <f>-SUM(AF40:AF42)</f>
        <v>0</v>
      </c>
      <c r="AG43" s="33">
        <f>-AF43*AC43/100</f>
        <v>0</v>
      </c>
      <c r="AH43" s="28">
        <f t="shared" si="3"/>
        <v>0</v>
      </c>
      <c r="AI43" s="42">
        <f>AG43*62.71%</f>
        <v>0</v>
      </c>
      <c r="AJ43" s="42">
        <f>AG43*9.72%</f>
        <v>0</v>
      </c>
      <c r="AK43" s="32">
        <f>AG43*12.13%</f>
        <v>0</v>
      </c>
      <c r="AL43" s="32">
        <f>AG43*7.13%</f>
        <v>0</v>
      </c>
      <c r="AM43" s="32">
        <f>AG43*0%</f>
        <v>0</v>
      </c>
      <c r="AN43" s="32">
        <f>AG43*6.34%</f>
        <v>0</v>
      </c>
      <c r="AO43" s="32">
        <f>AG43*1.97%</f>
        <v>0</v>
      </c>
      <c r="AP43" s="32"/>
      <c r="AQ43" s="33"/>
    </row>
    <row r="44" spans="1:44" ht="15" customHeight="1" x14ac:dyDescent="0.2">
      <c r="A44" s="32"/>
      <c r="B44" s="32"/>
      <c r="C44" s="352"/>
      <c r="D44" s="351"/>
      <c r="E44" s="352"/>
      <c r="F44" s="351"/>
      <c r="G44" s="351"/>
      <c r="H44" s="351"/>
      <c r="I44" s="353"/>
      <c r="J44" s="351"/>
      <c r="K44" s="351"/>
      <c r="L44" s="351"/>
      <c r="M44" s="351"/>
      <c r="N44" s="351"/>
      <c r="O44" s="351"/>
      <c r="P44" s="351"/>
      <c r="Q44" s="352"/>
      <c r="R44" s="351"/>
      <c r="S44" s="351"/>
      <c r="T44" s="351"/>
      <c r="U44" s="351"/>
      <c r="V44" s="351"/>
      <c r="W44" s="351"/>
      <c r="X44" s="33">
        <f t="shared" si="0"/>
        <v>0</v>
      </c>
      <c r="Y44" s="34" t="s">
        <v>43</v>
      </c>
      <c r="Z44" s="78"/>
      <c r="AA44" s="81"/>
      <c r="AB44" s="81"/>
      <c r="AC44" s="79"/>
      <c r="AD44" s="31">
        <f>X44*Z44/100</f>
        <v>0</v>
      </c>
      <c r="AE44" s="33"/>
      <c r="AF44" s="31">
        <f t="shared" ref="AF44:AF51" si="5">X44*AB44/100</f>
        <v>0</v>
      </c>
      <c r="AG44" s="33"/>
      <c r="AH44" s="28">
        <f t="shared" si="3"/>
        <v>0</v>
      </c>
      <c r="AI44" s="42"/>
      <c r="AJ44" s="32"/>
      <c r="AK44" s="32"/>
      <c r="AL44" s="32"/>
      <c r="AM44" s="32"/>
      <c r="AN44" s="32"/>
      <c r="AO44" s="32"/>
      <c r="AP44" s="32"/>
      <c r="AQ44" s="33"/>
    </row>
    <row r="45" spans="1:44" ht="15" customHeight="1" x14ac:dyDescent="0.2">
      <c r="A45" s="32"/>
      <c r="B45" s="32"/>
      <c r="C45" s="351"/>
      <c r="D45" s="351"/>
      <c r="E45" s="351"/>
      <c r="F45" s="351"/>
      <c r="G45" s="351"/>
      <c r="H45" s="351"/>
      <c r="I45" s="351"/>
      <c r="J45" s="351"/>
      <c r="K45" s="351"/>
      <c r="L45" s="351"/>
      <c r="M45" s="351"/>
      <c r="N45" s="351"/>
      <c r="O45" s="351"/>
      <c r="P45" s="351"/>
      <c r="Q45" s="351"/>
      <c r="R45" s="351"/>
      <c r="S45" s="351"/>
      <c r="T45" s="351"/>
      <c r="U45" s="351"/>
      <c r="V45" s="351"/>
      <c r="W45" s="351"/>
      <c r="X45" s="33">
        <f t="shared" si="0"/>
        <v>0</v>
      </c>
      <c r="Y45" s="34" t="s">
        <v>44</v>
      </c>
      <c r="Z45" s="78"/>
      <c r="AA45" s="81"/>
      <c r="AB45" s="81"/>
      <c r="AC45" s="79"/>
      <c r="AD45" s="31">
        <f>X45*Z45/100</f>
        <v>0</v>
      </c>
      <c r="AE45" s="33"/>
      <c r="AF45" s="31">
        <f t="shared" si="5"/>
        <v>0</v>
      </c>
      <c r="AG45" s="33"/>
      <c r="AH45" s="28">
        <f t="shared" si="3"/>
        <v>0</v>
      </c>
      <c r="AI45" s="42"/>
      <c r="AJ45" s="32"/>
      <c r="AK45" s="32"/>
      <c r="AL45" s="32"/>
      <c r="AM45" s="32"/>
      <c r="AN45" s="32"/>
      <c r="AO45" s="32"/>
      <c r="AP45" s="32"/>
      <c r="AQ45" s="33"/>
    </row>
    <row r="46" spans="1:44" ht="15" customHeight="1" x14ac:dyDescent="0.2">
      <c r="A46" s="32"/>
      <c r="B46" s="32"/>
      <c r="C46" s="351"/>
      <c r="D46" s="351"/>
      <c r="E46" s="351"/>
      <c r="F46" s="351"/>
      <c r="G46" s="351"/>
      <c r="H46" s="351"/>
      <c r="I46" s="351"/>
      <c r="J46" s="351"/>
      <c r="K46" s="351"/>
      <c r="L46" s="351"/>
      <c r="M46" s="351"/>
      <c r="N46" s="351"/>
      <c r="O46" s="351"/>
      <c r="P46" s="351"/>
      <c r="Q46" s="351"/>
      <c r="R46" s="351"/>
      <c r="S46" s="95"/>
      <c r="T46" s="351"/>
      <c r="U46" s="351"/>
      <c r="V46" s="351"/>
      <c r="W46" s="351"/>
      <c r="X46" s="33">
        <f t="shared" si="0"/>
        <v>0</v>
      </c>
      <c r="Y46" s="34" t="s">
        <v>29</v>
      </c>
      <c r="Z46" s="78"/>
      <c r="AA46" s="81"/>
      <c r="AB46" s="81"/>
      <c r="AC46" s="79"/>
      <c r="AD46" s="31">
        <f>X46*Z46/100</f>
        <v>0</v>
      </c>
      <c r="AE46" s="33"/>
      <c r="AF46" s="31">
        <f t="shared" si="5"/>
        <v>0</v>
      </c>
      <c r="AG46" s="33"/>
      <c r="AH46" s="28">
        <f t="shared" si="3"/>
        <v>0</v>
      </c>
      <c r="AI46" s="42"/>
      <c r="AJ46" s="32"/>
      <c r="AK46" s="32"/>
      <c r="AL46" s="32"/>
      <c r="AM46" s="32"/>
      <c r="AN46" s="32"/>
      <c r="AO46" s="32"/>
      <c r="AP46" s="32"/>
      <c r="AQ46" s="33"/>
    </row>
    <row r="47" spans="1:44" ht="15" customHeight="1" x14ac:dyDescent="0.2">
      <c r="A47" s="32"/>
      <c r="B47" s="32"/>
      <c r="C47" s="351"/>
      <c r="D47" s="351"/>
      <c r="E47" s="351"/>
      <c r="F47" s="351"/>
      <c r="G47" s="351"/>
      <c r="H47" s="351"/>
      <c r="I47" s="351"/>
      <c r="J47" s="351"/>
      <c r="K47" s="351"/>
      <c r="L47" s="351"/>
      <c r="M47" s="351"/>
      <c r="N47" s="351"/>
      <c r="O47" s="351"/>
      <c r="P47" s="351"/>
      <c r="Q47" s="351"/>
      <c r="R47" s="351"/>
      <c r="S47" s="351"/>
      <c r="T47" s="351"/>
      <c r="U47" s="351"/>
      <c r="V47" s="351"/>
      <c r="W47" s="351"/>
      <c r="X47" s="33">
        <f t="shared" si="0"/>
        <v>0</v>
      </c>
      <c r="Y47" s="34" t="s">
        <v>30</v>
      </c>
      <c r="Z47" s="78"/>
      <c r="AA47" s="81"/>
      <c r="AB47" s="81"/>
      <c r="AC47" s="79"/>
      <c r="AD47" s="31">
        <f>X47*Z47/100</f>
        <v>0</v>
      </c>
      <c r="AE47" s="33"/>
      <c r="AF47" s="31">
        <f t="shared" si="5"/>
        <v>0</v>
      </c>
      <c r="AG47" s="33"/>
      <c r="AH47" s="28">
        <f t="shared" si="3"/>
        <v>0</v>
      </c>
      <c r="AI47" s="42"/>
      <c r="AJ47" s="32"/>
      <c r="AK47" s="32"/>
      <c r="AL47" s="32"/>
      <c r="AM47" s="32"/>
      <c r="AN47" s="32"/>
      <c r="AO47" s="32"/>
      <c r="AP47" s="32"/>
      <c r="AQ47" s="33"/>
    </row>
    <row r="48" spans="1:44" s="1" customFormat="1" ht="15" customHeight="1" x14ac:dyDescent="0.2">
      <c r="A48" s="77"/>
      <c r="B48" s="77"/>
      <c r="C48" s="235"/>
      <c r="D48" s="235"/>
      <c r="E48" s="235"/>
      <c r="F48" s="235"/>
      <c r="G48" s="235"/>
      <c r="H48" s="235"/>
      <c r="I48" s="351"/>
      <c r="J48" s="351"/>
      <c r="K48" s="235"/>
      <c r="L48" s="235"/>
      <c r="M48" s="235"/>
      <c r="N48" s="38"/>
      <c r="O48" s="351"/>
      <c r="P48" s="351"/>
      <c r="Q48" s="351"/>
      <c r="R48" s="351"/>
      <c r="S48" s="351"/>
      <c r="T48" s="351"/>
      <c r="U48" s="351"/>
      <c r="V48" s="351"/>
      <c r="W48" s="351"/>
      <c r="X48" s="33">
        <f t="shared" si="0"/>
        <v>0</v>
      </c>
      <c r="Y48" s="34" t="s">
        <v>116</v>
      </c>
      <c r="Z48" s="36"/>
      <c r="AA48" s="38"/>
      <c r="AB48" s="38">
        <v>300</v>
      </c>
      <c r="AC48" s="35"/>
      <c r="AD48" s="78">
        <f>-AG48/$D$2%</f>
        <v>0</v>
      </c>
      <c r="AE48" s="79"/>
      <c r="AF48" s="36">
        <f>X48*AB48/100</f>
        <v>0</v>
      </c>
      <c r="AG48" s="79"/>
      <c r="AH48" s="43"/>
      <c r="AI48" s="93"/>
      <c r="AJ48" s="77"/>
      <c r="AK48" s="77"/>
      <c r="AL48" s="77"/>
      <c r="AM48" s="77"/>
      <c r="AN48" s="77"/>
      <c r="AO48" s="77"/>
      <c r="AP48" s="77"/>
      <c r="AQ48" s="46"/>
    </row>
    <row r="49" spans="1:43" s="1" customFormat="1" ht="15" customHeight="1" x14ac:dyDescent="0.2">
      <c r="A49" s="77"/>
      <c r="B49" s="77"/>
      <c r="C49" s="235"/>
      <c r="D49" s="235"/>
      <c r="E49" s="235"/>
      <c r="F49" s="235"/>
      <c r="G49" s="235"/>
      <c r="H49" s="235"/>
      <c r="I49" s="351"/>
      <c r="J49" s="351"/>
      <c r="K49" s="235"/>
      <c r="L49" s="235"/>
      <c r="M49" s="235"/>
      <c r="N49" s="38"/>
      <c r="O49" s="351"/>
      <c r="P49" s="351"/>
      <c r="Q49" s="351"/>
      <c r="R49" s="351"/>
      <c r="S49" s="351"/>
      <c r="T49" s="351"/>
      <c r="U49" s="351"/>
      <c r="V49" s="351"/>
      <c r="W49" s="351"/>
      <c r="X49" s="33">
        <f t="shared" si="0"/>
        <v>0</v>
      </c>
      <c r="Y49" s="34" t="s">
        <v>117</v>
      </c>
      <c r="Z49" s="36"/>
      <c r="AA49" s="38"/>
      <c r="AB49" s="38">
        <v>100</v>
      </c>
      <c r="AC49" s="35"/>
      <c r="AD49" s="78">
        <f>-AG49/$D$2%</f>
        <v>0</v>
      </c>
      <c r="AE49" s="79"/>
      <c r="AF49" s="78">
        <f>X49*AB49/100</f>
        <v>0</v>
      </c>
      <c r="AG49" s="79"/>
      <c r="AH49" s="43"/>
      <c r="AI49" s="93"/>
      <c r="AJ49" s="77"/>
      <c r="AK49" s="77"/>
      <c r="AL49" s="77"/>
      <c r="AM49" s="77"/>
      <c r="AN49" s="77"/>
      <c r="AO49" s="77"/>
      <c r="AP49" s="77"/>
      <c r="AQ49" s="46"/>
    </row>
    <row r="50" spans="1:43" ht="15" customHeight="1" x14ac:dyDescent="0.2">
      <c r="A50" s="32"/>
      <c r="B50" s="32"/>
      <c r="C50" s="235"/>
      <c r="D50" s="235"/>
      <c r="E50" s="235"/>
      <c r="F50" s="235"/>
      <c r="G50" s="235"/>
      <c r="H50" s="235"/>
      <c r="I50" s="235"/>
      <c r="J50" s="235"/>
      <c r="K50" s="235"/>
      <c r="L50" s="235"/>
      <c r="M50" s="235"/>
      <c r="N50" s="81"/>
      <c r="O50" s="351"/>
      <c r="P50" s="351"/>
      <c r="Q50" s="351"/>
      <c r="R50" s="351"/>
      <c r="S50" s="351"/>
      <c r="T50" s="351"/>
      <c r="U50" s="351"/>
      <c r="V50" s="351"/>
      <c r="W50" s="351"/>
      <c r="X50" s="33">
        <f t="shared" si="0"/>
        <v>0</v>
      </c>
      <c r="Y50" s="179" t="s">
        <v>36</v>
      </c>
      <c r="Z50" s="78"/>
      <c r="AA50" s="81"/>
      <c r="AB50" s="81">
        <v>100</v>
      </c>
      <c r="AC50" s="79"/>
      <c r="AD50" s="31"/>
      <c r="AE50" s="33"/>
      <c r="AF50" s="31">
        <f t="shared" si="5"/>
        <v>0</v>
      </c>
      <c r="AG50" s="33"/>
      <c r="AH50" s="28">
        <f t="shared" si="3"/>
        <v>0</v>
      </c>
      <c r="AI50" s="42"/>
      <c r="AJ50" s="32"/>
      <c r="AK50" s="32"/>
      <c r="AL50" s="32"/>
      <c r="AM50" s="32"/>
      <c r="AN50" s="32"/>
      <c r="AO50" s="32"/>
      <c r="AP50" s="32"/>
      <c r="AQ50" s="33"/>
    </row>
    <row r="51" spans="1:43" ht="15" customHeight="1" x14ac:dyDescent="0.2">
      <c r="A51" s="32"/>
      <c r="B51" s="32"/>
      <c r="C51" s="235"/>
      <c r="D51" s="235"/>
      <c r="E51" s="235"/>
      <c r="F51" s="235"/>
      <c r="G51" s="235"/>
      <c r="H51" s="235"/>
      <c r="I51" s="235"/>
      <c r="J51" s="235"/>
      <c r="K51" s="235"/>
      <c r="L51" s="235"/>
      <c r="M51" s="235"/>
      <c r="N51" s="81"/>
      <c r="O51" s="351"/>
      <c r="P51" s="351"/>
      <c r="Q51" s="351"/>
      <c r="R51" s="351"/>
      <c r="S51" s="351"/>
      <c r="T51" s="351"/>
      <c r="U51" s="351"/>
      <c r="V51" s="351"/>
      <c r="W51" s="351"/>
      <c r="X51" s="33">
        <f t="shared" si="0"/>
        <v>0</v>
      </c>
      <c r="Y51" s="34" t="s">
        <v>31</v>
      </c>
      <c r="Z51" s="78"/>
      <c r="AA51" s="81"/>
      <c r="AB51" s="81"/>
      <c r="AC51" s="79"/>
      <c r="AD51" s="31">
        <f>X51*Z51/100</f>
        <v>0</v>
      </c>
      <c r="AE51" s="33"/>
      <c r="AF51" s="31">
        <f t="shared" si="5"/>
        <v>0</v>
      </c>
      <c r="AG51" s="33"/>
      <c r="AH51" s="28">
        <f t="shared" si="3"/>
        <v>0</v>
      </c>
      <c r="AI51" s="42"/>
      <c r="AJ51" s="32"/>
      <c r="AK51" s="32"/>
      <c r="AL51" s="32"/>
      <c r="AM51" s="32"/>
      <c r="AN51" s="32"/>
      <c r="AO51" s="32"/>
      <c r="AP51" s="32"/>
      <c r="AQ51" s="33"/>
    </row>
    <row r="52" spans="1:43" ht="15" customHeight="1" x14ac:dyDescent="0.2">
      <c r="A52" s="32"/>
      <c r="B52" s="32"/>
      <c r="C52" s="235"/>
      <c r="D52" s="235"/>
      <c r="E52" s="235"/>
      <c r="F52" s="235"/>
      <c r="G52" s="235"/>
      <c r="H52" s="235"/>
      <c r="I52" s="235"/>
      <c r="J52" s="235"/>
      <c r="K52" s="235"/>
      <c r="L52" s="235"/>
      <c r="M52" s="235"/>
      <c r="N52" s="81"/>
      <c r="O52" s="351"/>
      <c r="P52" s="351"/>
      <c r="Q52" s="351"/>
      <c r="R52" s="351"/>
      <c r="S52" s="351"/>
      <c r="T52" s="351"/>
      <c r="U52" s="351"/>
      <c r="V52" s="351"/>
      <c r="W52" s="351"/>
      <c r="X52" s="33">
        <f t="shared" si="0"/>
        <v>0</v>
      </c>
      <c r="Y52" s="34" t="s">
        <v>65</v>
      </c>
      <c r="Z52" s="78"/>
      <c r="AA52" s="81"/>
      <c r="AB52" s="81"/>
      <c r="AC52" s="79">
        <f>100-25</f>
        <v>75</v>
      </c>
      <c r="AD52" s="36"/>
      <c r="AE52" s="35"/>
      <c r="AF52" s="36">
        <f>-SUM(AF44:AF51)</f>
        <v>0</v>
      </c>
      <c r="AG52" s="35">
        <f>-AF52*AC52/100</f>
        <v>0</v>
      </c>
      <c r="AH52" s="28">
        <f t="shared" si="3"/>
        <v>0</v>
      </c>
      <c r="AI52" s="42">
        <f>AG52*62.71%</f>
        <v>0</v>
      </c>
      <c r="AJ52" s="42">
        <f>AG52*9.72%</f>
        <v>0</v>
      </c>
      <c r="AK52" s="32">
        <f>AG52*12.13%</f>
        <v>0</v>
      </c>
      <c r="AL52" s="32">
        <f>AG52*7.13%</f>
        <v>0</v>
      </c>
      <c r="AM52" s="32">
        <f>AG52*0%</f>
        <v>0</v>
      </c>
      <c r="AN52" s="32">
        <f>AG52*6.34%</f>
        <v>0</v>
      </c>
      <c r="AO52" s="32">
        <f>AG52*1.97%</f>
        <v>0</v>
      </c>
      <c r="AP52" s="32"/>
      <c r="AQ52" s="33"/>
    </row>
    <row r="53" spans="1:43" ht="15" customHeight="1" x14ac:dyDescent="0.2">
      <c r="A53" s="32"/>
      <c r="B53" s="32"/>
      <c r="C53" s="235"/>
      <c r="D53" s="235"/>
      <c r="E53" s="235"/>
      <c r="F53" s="235"/>
      <c r="G53" s="235"/>
      <c r="H53" s="235"/>
      <c r="I53" s="351"/>
      <c r="J53" s="235"/>
      <c r="K53" s="235"/>
      <c r="L53" s="235"/>
      <c r="M53" s="235"/>
      <c r="N53" s="81"/>
      <c r="O53" s="351"/>
      <c r="P53" s="351"/>
      <c r="Q53" s="351"/>
      <c r="R53" s="351"/>
      <c r="S53" s="351"/>
      <c r="T53" s="351"/>
      <c r="U53" s="351"/>
      <c r="V53" s="351"/>
      <c r="W53" s="351"/>
      <c r="X53" s="33">
        <f t="shared" si="0"/>
        <v>0</v>
      </c>
      <c r="Y53" s="34" t="s">
        <v>16</v>
      </c>
      <c r="Z53" s="78"/>
      <c r="AA53" s="81"/>
      <c r="AB53" s="81"/>
      <c r="AC53" s="79"/>
      <c r="AD53" s="36">
        <f>X53*Z53/100</f>
        <v>0</v>
      </c>
      <c r="AE53" s="35"/>
      <c r="AF53" s="36">
        <f>X53*AB53/100</f>
        <v>0</v>
      </c>
      <c r="AG53" s="35"/>
      <c r="AH53" s="28">
        <f t="shared" ref="AH53:AH80" si="6">SUM(AI53:AQ53)</f>
        <v>0</v>
      </c>
      <c r="AI53" s="42"/>
      <c r="AJ53" s="81"/>
      <c r="AK53" s="77"/>
      <c r="AL53" s="77"/>
      <c r="AM53" s="77"/>
      <c r="AN53" s="77"/>
      <c r="AO53" s="77"/>
      <c r="AP53" s="77"/>
      <c r="AQ53" s="33"/>
    </row>
    <row r="54" spans="1:43" ht="15" customHeight="1" x14ac:dyDescent="0.2">
      <c r="A54" s="32"/>
      <c r="B54" s="32"/>
      <c r="C54" s="235"/>
      <c r="D54" s="235"/>
      <c r="E54" s="235"/>
      <c r="F54" s="235"/>
      <c r="G54" s="235"/>
      <c r="H54" s="235"/>
      <c r="I54" s="235"/>
      <c r="J54" s="235"/>
      <c r="K54" s="235"/>
      <c r="L54" s="235"/>
      <c r="M54" s="235"/>
      <c r="N54" s="81"/>
      <c r="O54" s="351"/>
      <c r="P54" s="351"/>
      <c r="Q54" s="351"/>
      <c r="R54" s="351"/>
      <c r="S54" s="351"/>
      <c r="T54" s="351"/>
      <c r="U54" s="351"/>
      <c r="V54" s="351"/>
      <c r="W54" s="351"/>
      <c r="X54" s="33">
        <f t="shared" si="0"/>
        <v>0</v>
      </c>
      <c r="Y54" s="34" t="s">
        <v>17</v>
      </c>
      <c r="Z54" s="78"/>
      <c r="AA54" s="81"/>
      <c r="AB54" s="81"/>
      <c r="AC54" s="79"/>
      <c r="AD54" s="36">
        <f>X54*Z54/100</f>
        <v>0</v>
      </c>
      <c r="AE54" s="35"/>
      <c r="AF54" s="36">
        <f>X54*AB54/100</f>
        <v>0</v>
      </c>
      <c r="AG54" s="35"/>
      <c r="AH54" s="28">
        <f t="shared" si="6"/>
        <v>0</v>
      </c>
      <c r="AI54" s="42"/>
      <c r="AJ54" s="81"/>
      <c r="AK54" s="77"/>
      <c r="AL54" s="77"/>
      <c r="AM54" s="77"/>
      <c r="AN54" s="77"/>
      <c r="AO54" s="77"/>
      <c r="AP54" s="77"/>
      <c r="AQ54" s="33"/>
    </row>
    <row r="55" spans="1:43" ht="15" customHeight="1" x14ac:dyDescent="0.2">
      <c r="A55" s="32"/>
      <c r="B55" s="32"/>
      <c r="C55" s="235"/>
      <c r="D55" s="235"/>
      <c r="E55" s="235"/>
      <c r="F55" s="235"/>
      <c r="G55" s="235"/>
      <c r="H55" s="235"/>
      <c r="I55" s="235"/>
      <c r="J55" s="235"/>
      <c r="K55" s="235"/>
      <c r="L55" s="235"/>
      <c r="M55" s="235"/>
      <c r="N55" s="81"/>
      <c r="O55" s="351"/>
      <c r="P55" s="351"/>
      <c r="Q55" s="351"/>
      <c r="R55" s="351"/>
      <c r="S55" s="351"/>
      <c r="T55" s="351"/>
      <c r="U55" s="351"/>
      <c r="V55" s="351"/>
      <c r="W55" s="351"/>
      <c r="X55" s="33">
        <f t="shared" si="0"/>
        <v>0</v>
      </c>
      <c r="Y55" s="34" t="s">
        <v>66</v>
      </c>
      <c r="Z55" s="78"/>
      <c r="AA55" s="81"/>
      <c r="AB55" s="81"/>
      <c r="AC55" s="79">
        <f>100-25</f>
        <v>75</v>
      </c>
      <c r="AD55" s="36"/>
      <c r="AE55" s="35"/>
      <c r="AF55" s="36">
        <f>-SUM(AF53:AF54)</f>
        <v>0</v>
      </c>
      <c r="AG55" s="35">
        <f>-AF55*AC55/100</f>
        <v>0</v>
      </c>
      <c r="AH55" s="28">
        <f t="shared" si="6"/>
        <v>0</v>
      </c>
      <c r="AI55" s="42">
        <f>AG55*62.71%</f>
        <v>0</v>
      </c>
      <c r="AJ55" s="42">
        <f>AG55*9.72%</f>
        <v>0</v>
      </c>
      <c r="AK55" s="32">
        <f>AG55*12.13%</f>
        <v>0</v>
      </c>
      <c r="AL55" s="32">
        <f>AG55*7.13%</f>
        <v>0</v>
      </c>
      <c r="AM55" s="32">
        <f>AG55*0%</f>
        <v>0</v>
      </c>
      <c r="AN55" s="32">
        <f>AG55*6.34%</f>
        <v>0</v>
      </c>
      <c r="AO55" s="32">
        <f>AG55*1.97%</f>
        <v>0</v>
      </c>
      <c r="AP55" s="32"/>
      <c r="AQ55" s="33"/>
    </row>
    <row r="56" spans="1:43" ht="15" customHeight="1" x14ac:dyDescent="0.2">
      <c r="A56" s="32"/>
      <c r="B56" s="32"/>
      <c r="C56" s="235"/>
      <c r="D56" s="351"/>
      <c r="E56" s="351"/>
      <c r="F56" s="235"/>
      <c r="G56" s="235"/>
      <c r="H56" s="235"/>
      <c r="I56" s="351"/>
      <c r="J56" s="235"/>
      <c r="K56" s="235"/>
      <c r="L56" s="235"/>
      <c r="M56" s="235"/>
      <c r="N56" s="81"/>
      <c r="O56" s="351"/>
      <c r="P56" s="351"/>
      <c r="Q56" s="351"/>
      <c r="R56" s="351"/>
      <c r="S56" s="351"/>
      <c r="T56" s="351"/>
      <c r="U56" s="351"/>
      <c r="V56" s="351"/>
      <c r="W56" s="351"/>
      <c r="X56" s="33">
        <f t="shared" si="0"/>
        <v>0</v>
      </c>
      <c r="Y56" s="34" t="s">
        <v>28</v>
      </c>
      <c r="Z56" s="78"/>
      <c r="AA56" s="81"/>
      <c r="AB56" s="81"/>
      <c r="AC56" s="79"/>
      <c r="AD56" s="36"/>
      <c r="AE56" s="35"/>
      <c r="AF56" s="36">
        <f>X56*AB56/100</f>
        <v>0</v>
      </c>
      <c r="AG56" s="35"/>
      <c r="AH56" s="28">
        <f t="shared" si="6"/>
        <v>0</v>
      </c>
      <c r="AI56" s="42"/>
      <c r="AJ56" s="32"/>
      <c r="AK56" s="32"/>
      <c r="AL56" s="32"/>
      <c r="AM56" s="32"/>
      <c r="AN56" s="32"/>
      <c r="AO56" s="32"/>
      <c r="AP56" s="32"/>
      <c r="AQ56" s="33"/>
    </row>
    <row r="57" spans="1:43" ht="15" customHeight="1" x14ac:dyDescent="0.2">
      <c r="A57" s="32"/>
      <c r="B57" s="32"/>
      <c r="C57" s="176"/>
      <c r="D57" s="176"/>
      <c r="E57" s="176"/>
      <c r="F57" s="176"/>
      <c r="G57" s="176"/>
      <c r="H57" s="176"/>
      <c r="I57" s="138"/>
      <c r="J57" s="176"/>
      <c r="K57" s="176"/>
      <c r="L57" s="176"/>
      <c r="M57" s="176"/>
      <c r="N57" s="38"/>
      <c r="O57" s="138"/>
      <c r="P57" s="138"/>
      <c r="Q57" s="138"/>
      <c r="R57" s="138"/>
      <c r="S57" s="138"/>
      <c r="T57" s="138"/>
      <c r="U57" s="138"/>
      <c r="V57" s="138"/>
      <c r="W57" s="138"/>
      <c r="X57" s="33">
        <f t="shared" si="0"/>
        <v>0</v>
      </c>
      <c r="Y57" s="34" t="s">
        <v>120</v>
      </c>
      <c r="Z57" s="36"/>
      <c r="AA57" s="38"/>
      <c r="AB57" s="38">
        <v>444</v>
      </c>
      <c r="AC57" s="35"/>
      <c r="AD57" s="36">
        <f>-AG57/$D$2%</f>
        <v>0</v>
      </c>
      <c r="AE57" s="35"/>
      <c r="AF57" s="36">
        <f>AE57*AB57%</f>
        <v>0</v>
      </c>
      <c r="AG57" s="33"/>
      <c r="AH57" s="28"/>
      <c r="AI57" s="42"/>
      <c r="AJ57" s="32"/>
      <c r="AK57" s="32"/>
      <c r="AL57" s="32"/>
      <c r="AM57" s="32"/>
      <c r="AN57" s="32"/>
      <c r="AO57" s="32"/>
      <c r="AP57" s="32"/>
      <c r="AQ57" s="33"/>
    </row>
    <row r="58" spans="1:43" ht="15" customHeight="1" x14ac:dyDescent="0.2">
      <c r="A58" s="38"/>
      <c r="B58" s="38"/>
      <c r="C58" s="138"/>
      <c r="D58" s="138"/>
      <c r="E58" s="138"/>
      <c r="F58" s="138"/>
      <c r="G58" s="138"/>
      <c r="H58" s="138"/>
      <c r="I58" s="138"/>
      <c r="J58" s="138"/>
      <c r="K58" s="138"/>
      <c r="L58" s="138"/>
      <c r="M58" s="138"/>
      <c r="N58" s="138"/>
      <c r="O58" s="138"/>
      <c r="P58" s="138"/>
      <c r="Q58" s="138"/>
      <c r="R58" s="138"/>
      <c r="S58" s="138"/>
      <c r="T58" s="138"/>
      <c r="U58" s="138"/>
      <c r="V58" s="138"/>
      <c r="W58" s="138"/>
      <c r="X58" s="33">
        <f t="shared" si="0"/>
        <v>0</v>
      </c>
      <c r="Y58" s="34" t="s">
        <v>118</v>
      </c>
      <c r="Z58" s="36"/>
      <c r="AA58" s="38"/>
      <c r="AB58" s="38">
        <v>100</v>
      </c>
      <c r="AC58" s="35"/>
      <c r="AD58" s="36"/>
      <c r="AE58" s="35"/>
      <c r="AF58" s="354">
        <f>AE58*AB58%</f>
        <v>0</v>
      </c>
      <c r="AG58" s="35"/>
      <c r="AH58" s="28"/>
      <c r="AI58" s="42"/>
      <c r="AJ58" s="32"/>
      <c r="AK58" s="32"/>
      <c r="AL58" s="32"/>
      <c r="AM58" s="32"/>
      <c r="AN58" s="32"/>
      <c r="AO58" s="32"/>
      <c r="AP58" s="32"/>
      <c r="AQ58" s="33"/>
    </row>
    <row r="59" spans="1:43" ht="15" customHeight="1" x14ac:dyDescent="0.2">
      <c r="A59" s="32"/>
      <c r="B59" s="32"/>
      <c r="C59" s="138"/>
      <c r="D59" s="138"/>
      <c r="E59" s="138"/>
      <c r="F59" s="138"/>
      <c r="G59" s="138"/>
      <c r="H59" s="138"/>
      <c r="I59" s="138"/>
      <c r="J59" s="138"/>
      <c r="K59" s="138"/>
      <c r="L59" s="138"/>
      <c r="M59" s="138"/>
      <c r="N59" s="138"/>
      <c r="O59" s="138"/>
      <c r="P59" s="138"/>
      <c r="Q59" s="138"/>
      <c r="R59" s="138"/>
      <c r="S59" s="138"/>
      <c r="T59" s="138"/>
      <c r="U59" s="138"/>
      <c r="V59" s="138"/>
      <c r="W59" s="138"/>
      <c r="X59" s="33">
        <f t="shared" si="0"/>
        <v>0</v>
      </c>
      <c r="Y59" s="34" t="s">
        <v>119</v>
      </c>
      <c r="Z59" s="36"/>
      <c r="AA59" s="38"/>
      <c r="AB59" s="38">
        <v>100</v>
      </c>
      <c r="AC59" s="35"/>
      <c r="AD59" s="36"/>
      <c r="AE59" s="35"/>
      <c r="AF59" s="36">
        <f>X59*AB59/100</f>
        <v>0</v>
      </c>
      <c r="AG59" s="35"/>
      <c r="AH59" s="28"/>
      <c r="AI59" s="42"/>
      <c r="AJ59" s="32"/>
      <c r="AK59" s="32"/>
      <c r="AL59" s="32"/>
      <c r="AM59" s="32"/>
      <c r="AN59" s="32"/>
      <c r="AO59" s="32"/>
      <c r="AP59" s="32"/>
      <c r="AQ59" s="33"/>
    </row>
    <row r="60" spans="1:43" ht="15" customHeight="1" x14ac:dyDescent="0.2">
      <c r="A60" s="32"/>
      <c r="B60" s="32"/>
      <c r="C60" s="235"/>
      <c r="D60" s="235"/>
      <c r="E60" s="235"/>
      <c r="F60" s="235"/>
      <c r="G60" s="235"/>
      <c r="H60" s="235"/>
      <c r="I60" s="53"/>
      <c r="J60" s="235"/>
      <c r="K60" s="235"/>
      <c r="L60" s="351"/>
      <c r="M60" s="235"/>
      <c r="N60" s="351"/>
      <c r="O60" s="351"/>
      <c r="P60" s="351"/>
      <c r="Q60" s="351"/>
      <c r="R60" s="351"/>
      <c r="S60" s="351"/>
      <c r="T60" s="351"/>
      <c r="U60" s="351"/>
      <c r="V60" s="351"/>
      <c r="W60" s="351"/>
      <c r="X60" s="33">
        <f t="shared" si="0"/>
        <v>0</v>
      </c>
      <c r="Y60" s="34" t="s">
        <v>241</v>
      </c>
      <c r="Z60" s="78"/>
      <c r="AA60" s="81"/>
      <c r="AB60" s="81">
        <v>100</v>
      </c>
      <c r="AC60" s="79"/>
      <c r="AD60" s="36"/>
      <c r="AE60" s="35"/>
      <c r="AF60" s="36">
        <f>X60*AB60/100</f>
        <v>0</v>
      </c>
      <c r="AG60" s="35"/>
      <c r="AH60" s="28">
        <f t="shared" si="6"/>
        <v>0</v>
      </c>
      <c r="AI60" s="42"/>
      <c r="AJ60" s="32"/>
      <c r="AK60" s="32"/>
      <c r="AL60" s="32"/>
      <c r="AM60" s="32"/>
      <c r="AN60" s="32"/>
      <c r="AO60" s="32"/>
      <c r="AP60" s="32"/>
      <c r="AQ60" s="33"/>
    </row>
    <row r="61" spans="1:43" ht="15" customHeight="1" x14ac:dyDescent="0.2">
      <c r="A61" s="31"/>
      <c r="B61" s="32"/>
      <c r="C61" s="235"/>
      <c r="D61" s="235"/>
      <c r="E61" s="235"/>
      <c r="F61" s="235"/>
      <c r="G61" s="235"/>
      <c r="H61" s="235"/>
      <c r="I61" s="235"/>
      <c r="J61" s="235"/>
      <c r="K61" s="235"/>
      <c r="L61" s="235"/>
      <c r="M61" s="235"/>
      <c r="N61" s="351"/>
      <c r="O61" s="351"/>
      <c r="P61" s="351"/>
      <c r="Q61" s="351"/>
      <c r="R61" s="351"/>
      <c r="S61" s="351"/>
      <c r="T61" s="351"/>
      <c r="U61" s="351"/>
      <c r="V61" s="351"/>
      <c r="W61" s="351"/>
      <c r="X61" s="33">
        <f t="shared" si="0"/>
        <v>0</v>
      </c>
      <c r="Y61" s="34" t="s">
        <v>37</v>
      </c>
      <c r="Z61" s="78"/>
      <c r="AA61" s="81"/>
      <c r="AB61" s="81"/>
      <c r="AC61" s="79"/>
      <c r="AD61" s="36">
        <f>X61*Z61%</f>
        <v>0</v>
      </c>
      <c r="AE61" s="35"/>
      <c r="AF61" s="36">
        <f>X61*AB61%</f>
        <v>0</v>
      </c>
      <c r="AG61" s="35"/>
      <c r="AH61" s="28">
        <f t="shared" si="6"/>
        <v>0</v>
      </c>
      <c r="AI61" s="42"/>
      <c r="AJ61" s="32"/>
      <c r="AK61" s="32"/>
      <c r="AL61" s="32"/>
      <c r="AM61" s="32"/>
      <c r="AN61" s="32"/>
      <c r="AO61" s="32"/>
      <c r="AP61" s="32"/>
      <c r="AQ61" s="33"/>
    </row>
    <row r="62" spans="1:43" ht="15" customHeight="1" x14ac:dyDescent="0.2">
      <c r="A62" s="32"/>
      <c r="B62" s="32"/>
      <c r="C62" s="235"/>
      <c r="D62" s="235"/>
      <c r="E62" s="235"/>
      <c r="F62" s="235"/>
      <c r="G62" s="235"/>
      <c r="H62" s="235"/>
      <c r="I62" s="53"/>
      <c r="J62" s="235"/>
      <c r="K62" s="235"/>
      <c r="L62" s="235"/>
      <c r="M62" s="235"/>
      <c r="N62" s="235"/>
      <c r="O62" s="235"/>
      <c r="P62" s="235"/>
      <c r="Q62" s="235"/>
      <c r="R62" s="235"/>
      <c r="S62" s="235"/>
      <c r="T62" s="235"/>
      <c r="U62" s="235"/>
      <c r="V62" s="235"/>
      <c r="W62" s="235"/>
      <c r="X62" s="33">
        <f t="shared" si="0"/>
        <v>0</v>
      </c>
      <c r="Y62" s="34" t="s">
        <v>115</v>
      </c>
      <c r="Z62" s="78"/>
      <c r="AA62" s="81"/>
      <c r="AB62" s="81"/>
      <c r="AC62" s="79">
        <f>100-25</f>
        <v>75</v>
      </c>
      <c r="AD62" s="36"/>
      <c r="AE62" s="35"/>
      <c r="AF62" s="76">
        <f>-SUM(AF56:AF60)</f>
        <v>0</v>
      </c>
      <c r="AG62" s="35">
        <f>-AF62*AC62/100</f>
        <v>0</v>
      </c>
      <c r="AH62" s="28">
        <f t="shared" si="6"/>
        <v>0</v>
      </c>
      <c r="AI62" s="42">
        <f>AG62*62.71%</f>
        <v>0</v>
      </c>
      <c r="AJ62" s="42">
        <f>AG62*9.72%</f>
        <v>0</v>
      </c>
      <c r="AK62" s="32">
        <f>AG62*12.13%</f>
        <v>0</v>
      </c>
      <c r="AL62" s="32">
        <f>AG62*7.13%</f>
        <v>0</v>
      </c>
      <c r="AM62" s="32">
        <f>AG62*0%</f>
        <v>0</v>
      </c>
      <c r="AN62" s="32">
        <f>AG62*6.34%</f>
        <v>0</v>
      </c>
      <c r="AO62" s="32">
        <f>AG62*1.97%</f>
        <v>0</v>
      </c>
      <c r="AP62" s="32"/>
      <c r="AQ62" s="33"/>
    </row>
    <row r="63" spans="1:43" ht="15" customHeight="1" x14ac:dyDescent="0.2">
      <c r="A63" s="32"/>
      <c r="B63" s="32"/>
      <c r="C63" s="235"/>
      <c r="D63" s="235"/>
      <c r="E63" s="235"/>
      <c r="F63" s="235"/>
      <c r="G63" s="235"/>
      <c r="H63" s="235"/>
      <c r="I63" s="351"/>
      <c r="J63" s="235"/>
      <c r="K63" s="235"/>
      <c r="L63" s="235"/>
      <c r="M63" s="235"/>
      <c r="N63" s="235"/>
      <c r="O63" s="235"/>
      <c r="P63" s="235"/>
      <c r="Q63" s="235"/>
      <c r="R63" s="235"/>
      <c r="S63" s="235"/>
      <c r="T63" s="235"/>
      <c r="U63" s="235"/>
      <c r="V63" s="235"/>
      <c r="W63" s="235"/>
      <c r="X63" s="33">
        <f t="shared" si="0"/>
        <v>0</v>
      </c>
      <c r="Y63" s="34" t="s">
        <v>20</v>
      </c>
      <c r="Z63" s="78"/>
      <c r="AA63" s="81"/>
      <c r="AB63" s="81"/>
      <c r="AC63" s="79"/>
      <c r="AD63" s="31">
        <f t="shared" ref="AD63:AD68" si="7">Z63/100*X63</f>
        <v>0</v>
      </c>
      <c r="AE63" s="33"/>
      <c r="AF63" s="31">
        <f t="shared" ref="AF63:AF68" si="8">X63*AB63/100</f>
        <v>0</v>
      </c>
      <c r="AG63" s="33"/>
      <c r="AH63" s="28">
        <f t="shared" si="6"/>
        <v>0</v>
      </c>
      <c r="AI63" s="42"/>
      <c r="AJ63" s="32"/>
      <c r="AK63" s="32"/>
      <c r="AL63" s="32"/>
      <c r="AM63" s="32"/>
      <c r="AN63" s="32"/>
      <c r="AO63" s="32"/>
      <c r="AP63" s="32"/>
      <c r="AQ63" s="33"/>
    </row>
    <row r="64" spans="1:43" ht="15" customHeight="1" x14ac:dyDescent="0.2">
      <c r="A64" s="32"/>
      <c r="B64" s="32"/>
      <c r="C64" s="235"/>
      <c r="D64" s="235"/>
      <c r="E64" s="235"/>
      <c r="F64" s="235"/>
      <c r="G64" s="235"/>
      <c r="H64" s="235"/>
      <c r="I64" s="235"/>
      <c r="J64" s="235"/>
      <c r="K64" s="235"/>
      <c r="L64" s="235"/>
      <c r="M64" s="235"/>
      <c r="N64" s="235"/>
      <c r="O64" s="351"/>
      <c r="P64" s="351"/>
      <c r="Q64" s="351"/>
      <c r="R64" s="351"/>
      <c r="S64" s="351"/>
      <c r="T64" s="351"/>
      <c r="U64" s="235"/>
      <c r="V64" s="235"/>
      <c r="W64" s="235"/>
      <c r="X64" s="33">
        <f t="shared" si="0"/>
        <v>0</v>
      </c>
      <c r="Y64" s="34" t="s">
        <v>21</v>
      </c>
      <c r="Z64" s="78"/>
      <c r="AA64" s="81"/>
      <c r="AB64" s="81"/>
      <c r="AC64" s="79"/>
      <c r="AD64" s="31">
        <f t="shared" si="7"/>
        <v>0</v>
      </c>
      <c r="AE64" s="33"/>
      <c r="AF64" s="31">
        <f t="shared" si="8"/>
        <v>0</v>
      </c>
      <c r="AG64" s="33"/>
      <c r="AH64" s="28">
        <f t="shared" si="6"/>
        <v>0</v>
      </c>
      <c r="AI64" s="42"/>
      <c r="AJ64" s="32"/>
      <c r="AK64" s="32"/>
      <c r="AL64" s="32"/>
      <c r="AM64" s="32"/>
      <c r="AN64" s="32"/>
      <c r="AO64" s="32"/>
      <c r="AP64" s="32"/>
      <c r="AQ64" s="33"/>
    </row>
    <row r="65" spans="1:43" ht="15" customHeight="1" x14ac:dyDescent="0.2">
      <c r="A65" s="32"/>
      <c r="B65" s="32"/>
      <c r="C65" s="235"/>
      <c r="D65" s="235"/>
      <c r="E65" s="235"/>
      <c r="F65" s="235"/>
      <c r="G65" s="235"/>
      <c r="H65" s="235"/>
      <c r="I65" s="351"/>
      <c r="J65" s="235"/>
      <c r="K65" s="235"/>
      <c r="L65" s="235"/>
      <c r="M65" s="235"/>
      <c r="N65" s="235"/>
      <c r="O65" s="235"/>
      <c r="P65" s="235"/>
      <c r="Q65" s="235"/>
      <c r="R65" s="235"/>
      <c r="S65" s="235"/>
      <c r="T65" s="235"/>
      <c r="U65" s="235"/>
      <c r="V65" s="235"/>
      <c r="W65" s="235"/>
      <c r="X65" s="33">
        <f t="shared" si="0"/>
        <v>0</v>
      </c>
      <c r="Y65" s="34" t="s">
        <v>22</v>
      </c>
      <c r="Z65" s="78"/>
      <c r="AA65" s="81"/>
      <c r="AB65" s="81"/>
      <c r="AC65" s="79"/>
      <c r="AD65" s="31">
        <f t="shared" si="7"/>
        <v>0</v>
      </c>
      <c r="AE65" s="33"/>
      <c r="AF65" s="31">
        <f t="shared" si="8"/>
        <v>0</v>
      </c>
      <c r="AG65" s="33"/>
      <c r="AH65" s="28">
        <f t="shared" si="6"/>
        <v>0</v>
      </c>
      <c r="AI65" s="42"/>
      <c r="AJ65" s="32"/>
      <c r="AK65" s="32"/>
      <c r="AL65" s="32"/>
      <c r="AM65" s="32"/>
      <c r="AN65" s="32"/>
      <c r="AO65" s="32"/>
      <c r="AP65" s="32"/>
      <c r="AQ65" s="33"/>
    </row>
    <row r="66" spans="1:43" ht="15" customHeight="1" x14ac:dyDescent="0.2">
      <c r="A66" s="32"/>
      <c r="B66" s="32"/>
      <c r="C66" s="38"/>
      <c r="D66" s="38"/>
      <c r="E66" s="38"/>
      <c r="F66" s="38"/>
      <c r="G66" s="38"/>
      <c r="H66" s="38"/>
      <c r="I66" s="38"/>
      <c r="J66" s="32"/>
      <c r="K66" s="32"/>
      <c r="L66" s="32"/>
      <c r="M66" s="32"/>
      <c r="N66" s="32"/>
      <c r="O66" s="32"/>
      <c r="P66" s="38"/>
      <c r="Q66" s="32"/>
      <c r="R66" s="32"/>
      <c r="S66" s="38"/>
      <c r="T66" s="32"/>
      <c r="U66" s="32"/>
      <c r="V66" s="38"/>
      <c r="W66" s="32"/>
      <c r="X66" s="33">
        <f t="shared" si="0"/>
        <v>0</v>
      </c>
      <c r="Y66" s="34" t="s">
        <v>23</v>
      </c>
      <c r="Z66" s="78"/>
      <c r="AA66" s="81"/>
      <c r="AB66" s="81"/>
      <c r="AC66" s="79"/>
      <c r="AD66" s="31">
        <f t="shared" si="7"/>
        <v>0</v>
      </c>
      <c r="AE66" s="33"/>
      <c r="AF66" s="31">
        <f t="shared" si="8"/>
        <v>0</v>
      </c>
      <c r="AG66" s="33"/>
      <c r="AH66" s="28">
        <f t="shared" si="6"/>
        <v>0</v>
      </c>
      <c r="AI66" s="42"/>
      <c r="AJ66" s="32"/>
      <c r="AK66" s="32"/>
      <c r="AL66" s="32"/>
      <c r="AM66" s="32"/>
      <c r="AN66" s="32"/>
      <c r="AO66" s="32"/>
      <c r="AP66" s="32"/>
      <c r="AQ66" s="33"/>
    </row>
    <row r="67" spans="1:43" ht="15" customHeight="1" x14ac:dyDescent="0.2">
      <c r="A67" s="32"/>
      <c r="B67" s="32"/>
      <c r="C67" s="38"/>
      <c r="D67" s="38"/>
      <c r="E67" s="38"/>
      <c r="F67" s="38"/>
      <c r="G67" s="38"/>
      <c r="H67" s="38"/>
      <c r="I67" s="38"/>
      <c r="J67" s="32"/>
      <c r="K67" s="32"/>
      <c r="L67" s="32"/>
      <c r="M67" s="32"/>
      <c r="N67" s="32"/>
      <c r="O67" s="32"/>
      <c r="P67" s="38"/>
      <c r="Q67" s="32"/>
      <c r="R67" s="32"/>
      <c r="S67" s="32"/>
      <c r="T67" s="32"/>
      <c r="U67" s="32"/>
      <c r="V67" s="38"/>
      <c r="W67" s="32"/>
      <c r="X67" s="33">
        <f t="shared" si="0"/>
        <v>0</v>
      </c>
      <c r="Y67" s="34" t="s">
        <v>24</v>
      </c>
      <c r="Z67" s="78"/>
      <c r="AA67" s="81"/>
      <c r="AB67" s="81"/>
      <c r="AC67" s="79"/>
      <c r="AD67" s="31">
        <f t="shared" si="7"/>
        <v>0</v>
      </c>
      <c r="AE67" s="33"/>
      <c r="AF67" s="31">
        <f t="shared" si="8"/>
        <v>0</v>
      </c>
      <c r="AG67" s="33"/>
      <c r="AH67" s="28">
        <f t="shared" si="6"/>
        <v>0</v>
      </c>
      <c r="AI67" s="42"/>
      <c r="AJ67" s="32"/>
      <c r="AK67" s="32"/>
      <c r="AL67" s="32"/>
      <c r="AM67" s="32"/>
      <c r="AN67" s="32"/>
      <c r="AO67" s="32"/>
      <c r="AP67" s="32"/>
      <c r="AQ67" s="33"/>
    </row>
    <row r="68" spans="1:43" ht="15" customHeight="1" x14ac:dyDescent="0.2">
      <c r="A68" s="32"/>
      <c r="B68" s="32"/>
      <c r="C68" s="38"/>
      <c r="D68" s="38"/>
      <c r="E68" s="38"/>
      <c r="F68" s="38"/>
      <c r="G68" s="38"/>
      <c r="H68" s="38"/>
      <c r="I68" s="38"/>
      <c r="J68" s="32"/>
      <c r="K68" s="32"/>
      <c r="L68" s="32"/>
      <c r="M68" s="32"/>
      <c r="N68" s="32"/>
      <c r="O68" s="32"/>
      <c r="P68" s="38"/>
      <c r="Q68" s="32"/>
      <c r="R68" s="32"/>
      <c r="S68" s="38"/>
      <c r="T68" s="32"/>
      <c r="U68" s="32"/>
      <c r="V68" s="38"/>
      <c r="W68" s="32"/>
      <c r="X68" s="33">
        <f t="shared" si="0"/>
        <v>0</v>
      </c>
      <c r="Y68" s="34" t="s">
        <v>25</v>
      </c>
      <c r="Z68" s="78"/>
      <c r="AA68" s="81"/>
      <c r="AB68" s="81">
        <v>100</v>
      </c>
      <c r="AC68" s="79"/>
      <c r="AD68" s="31">
        <f t="shared" si="7"/>
        <v>0</v>
      </c>
      <c r="AE68" s="46"/>
      <c r="AF68" s="78">
        <f t="shared" si="8"/>
        <v>0</v>
      </c>
      <c r="AG68" s="33"/>
      <c r="AH68" s="28">
        <f t="shared" si="6"/>
        <v>0</v>
      </c>
      <c r="AI68" s="42"/>
      <c r="AJ68" s="32"/>
      <c r="AK68" s="32"/>
      <c r="AL68" s="32"/>
      <c r="AM68" s="32"/>
      <c r="AN68" s="32"/>
      <c r="AO68" s="32"/>
      <c r="AP68" s="32"/>
      <c r="AQ68" s="33"/>
    </row>
    <row r="69" spans="1:43" ht="15" customHeight="1" x14ac:dyDescent="0.2">
      <c r="A69" s="32"/>
      <c r="B69" s="32"/>
      <c r="C69" s="32"/>
      <c r="D69" s="32"/>
      <c r="E69" s="32"/>
      <c r="F69" s="32"/>
      <c r="G69" s="32"/>
      <c r="H69" s="32"/>
      <c r="I69" s="32"/>
      <c r="J69" s="32"/>
      <c r="K69" s="32"/>
      <c r="L69" s="32"/>
      <c r="M69" s="32"/>
      <c r="N69" s="32"/>
      <c r="O69" s="32"/>
      <c r="P69" s="32"/>
      <c r="Q69" s="32"/>
      <c r="R69" s="32"/>
      <c r="S69" s="32"/>
      <c r="T69" s="32"/>
      <c r="U69" s="32"/>
      <c r="V69" s="38"/>
      <c r="W69" s="32"/>
      <c r="X69" s="33">
        <f t="shared" si="0"/>
        <v>0</v>
      </c>
      <c r="Y69" s="179" t="s">
        <v>26</v>
      </c>
      <c r="Z69" s="76"/>
      <c r="AA69" s="77"/>
      <c r="AB69" s="77"/>
      <c r="AC69" s="49"/>
      <c r="AD69" s="31">
        <f>-AE69</f>
        <v>0</v>
      </c>
      <c r="AE69" s="79"/>
      <c r="AF69" s="76"/>
      <c r="AG69" s="33"/>
      <c r="AH69" s="28">
        <f t="shared" si="6"/>
        <v>0</v>
      </c>
      <c r="AI69" s="42"/>
      <c r="AJ69" s="32"/>
      <c r="AK69" s="32"/>
      <c r="AL69" s="32"/>
      <c r="AM69" s="32"/>
      <c r="AN69" s="32">
        <f>AE69</f>
        <v>0</v>
      </c>
      <c r="AO69" s="32"/>
      <c r="AP69" s="32"/>
      <c r="AQ69" s="33"/>
    </row>
    <row r="70" spans="1:43"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3">
        <f t="shared" si="0"/>
        <v>0</v>
      </c>
      <c r="Y70" s="179" t="s">
        <v>27</v>
      </c>
      <c r="Z70" s="76"/>
      <c r="AA70" s="77"/>
      <c r="AB70" s="77"/>
      <c r="AC70" s="79"/>
      <c r="AD70" s="31"/>
      <c r="AE70" s="46"/>
      <c r="AF70" s="78"/>
      <c r="AG70" s="180"/>
      <c r="AH70" s="28">
        <f t="shared" si="6"/>
        <v>0</v>
      </c>
      <c r="AI70" s="42"/>
      <c r="AJ70" s="32"/>
      <c r="AK70" s="32"/>
      <c r="AL70" s="32"/>
      <c r="AM70" s="32"/>
      <c r="AN70" s="32">
        <f>-AF70</f>
        <v>0</v>
      </c>
      <c r="AO70" s="32"/>
      <c r="AP70" s="32"/>
      <c r="AQ70" s="33"/>
    </row>
    <row r="71" spans="1:43" ht="15" customHeight="1" x14ac:dyDescent="0.2">
      <c r="A71" s="32"/>
      <c r="B71" s="32"/>
      <c r="C71" s="32"/>
      <c r="D71" s="32"/>
      <c r="E71" s="32"/>
      <c r="F71" s="32"/>
      <c r="G71" s="32"/>
      <c r="H71" s="32"/>
      <c r="I71" s="32"/>
      <c r="J71" s="32"/>
      <c r="K71" s="32"/>
      <c r="L71" s="32"/>
      <c r="M71" s="32"/>
      <c r="N71" s="32"/>
      <c r="O71" s="32"/>
      <c r="P71" s="38"/>
      <c r="Q71" s="32"/>
      <c r="R71" s="32"/>
      <c r="S71" s="32"/>
      <c r="T71" s="32"/>
      <c r="U71" s="32"/>
      <c r="V71" s="32"/>
      <c r="W71" s="32"/>
      <c r="X71" s="33">
        <f t="shared" si="0"/>
        <v>0</v>
      </c>
      <c r="Y71" s="34" t="s">
        <v>67</v>
      </c>
      <c r="Z71" s="76"/>
      <c r="AA71" s="77"/>
      <c r="AB71" s="77"/>
      <c r="AC71" s="79">
        <f>100-25</f>
        <v>75</v>
      </c>
      <c r="AD71" s="31"/>
      <c r="AE71" s="33"/>
      <c r="AF71" s="31">
        <f>-SUM(AF63:AF70)</f>
        <v>0</v>
      </c>
      <c r="AG71" s="33">
        <f>-AF71*AC71/100</f>
        <v>0</v>
      </c>
      <c r="AH71" s="28">
        <f t="shared" si="6"/>
        <v>0</v>
      </c>
      <c r="AI71" s="42">
        <f>AG71*62.71%</f>
        <v>0</v>
      </c>
      <c r="AJ71" s="42">
        <f>AG71*9.72%</f>
        <v>0</v>
      </c>
      <c r="AK71" s="32">
        <f>AG71*12.13%</f>
        <v>0</v>
      </c>
      <c r="AL71" s="32">
        <f>AG71*7.13%</f>
        <v>0</v>
      </c>
      <c r="AM71" s="32">
        <f>AG71*0%</f>
        <v>0</v>
      </c>
      <c r="AN71" s="32">
        <f>AG71*6.34%</f>
        <v>0</v>
      </c>
      <c r="AO71" s="32">
        <f>AG71*1.97%</f>
        <v>0</v>
      </c>
      <c r="AP71" s="32"/>
      <c r="AQ71" s="33"/>
    </row>
    <row r="72" spans="1:43" ht="15" customHeight="1" x14ac:dyDescent="0.2">
      <c r="A72" s="31"/>
      <c r="B72" s="32"/>
      <c r="C72" s="32"/>
      <c r="D72" s="32"/>
      <c r="E72" s="32"/>
      <c r="F72" s="81"/>
      <c r="G72" s="81"/>
      <c r="H72" s="81">
        <v>26.059342636660265</v>
      </c>
      <c r="I72" s="81"/>
      <c r="J72" s="81"/>
      <c r="K72" s="81"/>
      <c r="L72" s="81"/>
      <c r="M72" s="81"/>
      <c r="N72" s="81"/>
      <c r="O72" s="81"/>
      <c r="P72" s="81"/>
      <c r="Q72" s="32"/>
      <c r="R72" s="32"/>
      <c r="S72" s="32"/>
      <c r="T72" s="32"/>
      <c r="U72" s="32"/>
      <c r="V72" s="32"/>
      <c r="W72" s="32"/>
      <c r="X72" s="33">
        <f t="shared" si="0"/>
        <v>26.059342636660265</v>
      </c>
      <c r="Y72" s="34" t="s">
        <v>68</v>
      </c>
      <c r="Z72" s="31"/>
      <c r="AA72" s="32">
        <v>20</v>
      </c>
      <c r="AB72" s="32"/>
      <c r="AC72" s="35"/>
      <c r="AD72" s="31"/>
      <c r="AE72" s="33"/>
      <c r="AF72" s="31"/>
      <c r="AG72" s="33"/>
      <c r="AH72" s="28">
        <f t="shared" si="6"/>
        <v>5.2118685273320535</v>
      </c>
      <c r="AI72" s="42"/>
      <c r="AJ72" s="32"/>
      <c r="AK72" s="32"/>
      <c r="AL72" s="32"/>
      <c r="AM72" s="32"/>
      <c r="AN72" s="32"/>
      <c r="AO72" s="32"/>
      <c r="AP72" s="32"/>
      <c r="AQ72" s="33">
        <f>X72*AA72/100</f>
        <v>5.2118685273320535</v>
      </c>
    </row>
    <row r="73" spans="1:43" ht="15" customHeight="1" x14ac:dyDescent="0.2">
      <c r="A73" s="31"/>
      <c r="B73" s="32"/>
      <c r="C73" s="32"/>
      <c r="D73" s="32"/>
      <c r="E73" s="32"/>
      <c r="F73" s="81">
        <v>2.4153393895060216</v>
      </c>
      <c r="G73" s="81"/>
      <c r="H73" s="81"/>
      <c r="I73" s="81"/>
      <c r="J73" s="81"/>
      <c r="K73" s="81"/>
      <c r="L73" s="81"/>
      <c r="M73" s="81"/>
      <c r="N73" s="81"/>
      <c r="O73" s="81"/>
      <c r="P73" s="81"/>
      <c r="Q73" s="32"/>
      <c r="R73" s="32"/>
      <c r="S73" s="32"/>
      <c r="T73" s="32"/>
      <c r="U73" s="32"/>
      <c r="V73" s="32"/>
      <c r="W73" s="32"/>
      <c r="X73" s="33">
        <f t="shared" si="0"/>
        <v>2.4153393895060216</v>
      </c>
      <c r="Y73" s="34" t="s">
        <v>69</v>
      </c>
      <c r="Z73" s="31"/>
      <c r="AA73" s="32">
        <v>25</v>
      </c>
      <c r="AB73" s="32"/>
      <c r="AC73" s="35"/>
      <c r="AD73" s="31"/>
      <c r="AE73" s="33"/>
      <c r="AF73" s="31"/>
      <c r="AG73" s="33"/>
      <c r="AH73" s="28">
        <f t="shared" si="6"/>
        <v>0.60383484737650539</v>
      </c>
      <c r="AI73" s="42"/>
      <c r="AJ73" s="32"/>
      <c r="AK73" s="32"/>
      <c r="AL73" s="32"/>
      <c r="AM73" s="32"/>
      <c r="AN73" s="32"/>
      <c r="AO73" s="32"/>
      <c r="AP73" s="32"/>
      <c r="AQ73" s="33">
        <f>X73*AA73/100</f>
        <v>0.60383484737650539</v>
      </c>
    </row>
    <row r="74" spans="1:43" ht="15" customHeight="1" x14ac:dyDescent="0.2">
      <c r="A74" s="31"/>
      <c r="B74" s="32"/>
      <c r="C74" s="32"/>
      <c r="D74" s="32"/>
      <c r="E74" s="32"/>
      <c r="F74" s="81">
        <v>9.4937013415757185</v>
      </c>
      <c r="G74" s="81"/>
      <c r="H74" s="81"/>
      <c r="I74" s="81"/>
      <c r="J74" s="81"/>
      <c r="K74" s="81"/>
      <c r="L74" s="81"/>
      <c r="M74" s="81"/>
      <c r="N74" s="81"/>
      <c r="O74" s="81"/>
      <c r="P74" s="81"/>
      <c r="Q74" s="32"/>
      <c r="R74" s="32"/>
      <c r="S74" s="32"/>
      <c r="T74" s="32"/>
      <c r="U74" s="32"/>
      <c r="V74" s="32"/>
      <c r="W74" s="32"/>
      <c r="X74" s="33">
        <f>SUM(A74:W74)</f>
        <v>9.4937013415757185</v>
      </c>
      <c r="Y74" s="34" t="s">
        <v>121</v>
      </c>
      <c r="Z74" s="31"/>
      <c r="AA74" s="32">
        <v>25</v>
      </c>
      <c r="AB74" s="32"/>
      <c r="AC74" s="35"/>
      <c r="AD74" s="31"/>
      <c r="AE74" s="33"/>
      <c r="AF74" s="31"/>
      <c r="AG74" s="33"/>
      <c r="AH74" s="28">
        <f t="shared" si="6"/>
        <v>2.3734253353939296</v>
      </c>
      <c r="AI74" s="42"/>
      <c r="AJ74" s="32"/>
      <c r="AK74" s="32"/>
      <c r="AL74" s="32"/>
      <c r="AM74" s="32"/>
      <c r="AN74" s="32"/>
      <c r="AO74" s="32"/>
      <c r="AP74" s="32"/>
      <c r="AQ74" s="33">
        <f>X74*AA74/100</f>
        <v>2.3734253353939296</v>
      </c>
    </row>
    <row r="75" spans="1:43" ht="15" customHeight="1" x14ac:dyDescent="0.2">
      <c r="A75" s="31"/>
      <c r="B75" s="32"/>
      <c r="C75" s="32"/>
      <c r="D75" s="32"/>
      <c r="E75" s="32"/>
      <c r="F75" s="81">
        <v>2.0261807523089908</v>
      </c>
      <c r="G75" s="81"/>
      <c r="H75" s="81"/>
      <c r="I75" s="81"/>
      <c r="J75" s="81"/>
      <c r="K75" s="81"/>
      <c r="L75" s="81"/>
      <c r="M75" s="81"/>
      <c r="N75" s="81"/>
      <c r="O75" s="81"/>
      <c r="P75" s="81"/>
      <c r="Q75" s="32"/>
      <c r="R75" s="32"/>
      <c r="S75" s="32"/>
      <c r="T75" s="32"/>
      <c r="U75" s="32"/>
      <c r="V75" s="32"/>
      <c r="W75" s="32"/>
      <c r="X75" s="33">
        <f t="shared" si="0"/>
        <v>2.0261807523089908</v>
      </c>
      <c r="Y75" s="34" t="s">
        <v>9</v>
      </c>
      <c r="Z75" s="31"/>
      <c r="AA75" s="32">
        <v>33</v>
      </c>
      <c r="AB75" s="32"/>
      <c r="AC75" s="35"/>
      <c r="AD75" s="31"/>
      <c r="AE75" s="33"/>
      <c r="AF75" s="31"/>
      <c r="AG75" s="33"/>
      <c r="AH75" s="28">
        <f t="shared" si="6"/>
        <v>0.66863964826196698</v>
      </c>
      <c r="AI75" s="42"/>
      <c r="AJ75" s="32"/>
      <c r="AK75" s="32"/>
      <c r="AL75" s="32"/>
      <c r="AM75" s="32"/>
      <c r="AN75" s="32"/>
      <c r="AO75" s="32"/>
      <c r="AP75" s="32"/>
      <c r="AQ75" s="33">
        <f>X75*AA75/100</f>
        <v>0.66863964826196698</v>
      </c>
    </row>
    <row r="76" spans="1:43" ht="15" customHeight="1" x14ac:dyDescent="0.2">
      <c r="A76" s="31"/>
      <c r="B76" s="32"/>
      <c r="C76" s="32"/>
      <c r="D76" s="32"/>
      <c r="E76" s="32"/>
      <c r="F76" s="81">
        <v>8.2783517084214182</v>
      </c>
      <c r="G76" s="81"/>
      <c r="H76" s="81"/>
      <c r="I76" s="81"/>
      <c r="J76" s="81"/>
      <c r="K76" s="81"/>
      <c r="L76" s="81"/>
      <c r="M76" s="81"/>
      <c r="N76" s="81"/>
      <c r="O76" s="81"/>
      <c r="P76" s="81"/>
      <c r="Q76" s="32"/>
      <c r="R76" s="32"/>
      <c r="S76" s="32"/>
      <c r="T76" s="32"/>
      <c r="U76" s="32"/>
      <c r="V76" s="32"/>
      <c r="W76" s="32"/>
      <c r="X76" s="33">
        <f t="shared" si="0"/>
        <v>8.2783517084214182</v>
      </c>
      <c r="Y76" s="34" t="s">
        <v>70</v>
      </c>
      <c r="Z76" s="31"/>
      <c r="AA76" s="32">
        <v>33</v>
      </c>
      <c r="AB76" s="32"/>
      <c r="AC76" s="35"/>
      <c r="AD76" s="31"/>
      <c r="AE76" s="33"/>
      <c r="AF76" s="31"/>
      <c r="AG76" s="33"/>
      <c r="AH76" s="28">
        <f t="shared" si="6"/>
        <v>2.7318560637790683</v>
      </c>
      <c r="AI76" s="42"/>
      <c r="AJ76" s="32"/>
      <c r="AK76" s="32"/>
      <c r="AL76" s="32"/>
      <c r="AM76" s="32"/>
      <c r="AN76" s="32"/>
      <c r="AO76" s="32"/>
      <c r="AP76" s="32"/>
      <c r="AQ76" s="33">
        <f>X76*AA76/100</f>
        <v>2.7318560637790683</v>
      </c>
    </row>
    <row r="77" spans="1:43" ht="15" customHeight="1" x14ac:dyDescent="0.2">
      <c r="A77" s="31"/>
      <c r="B77" s="32"/>
      <c r="C77" s="32"/>
      <c r="D77" s="32"/>
      <c r="E77" s="32"/>
      <c r="F77" s="37">
        <v>7.0269586273894555</v>
      </c>
      <c r="G77" s="81"/>
      <c r="H77" s="81"/>
      <c r="I77" s="81"/>
      <c r="J77" s="81"/>
      <c r="K77" s="81"/>
      <c r="L77" s="81"/>
      <c r="M77" s="81"/>
      <c r="N77" s="81"/>
      <c r="O77" s="81"/>
      <c r="P77" s="81"/>
      <c r="Q77" s="32"/>
      <c r="R77" s="32"/>
      <c r="S77" s="32"/>
      <c r="T77" s="32"/>
      <c r="U77" s="32"/>
      <c r="V77" s="32"/>
      <c r="W77" s="32"/>
      <c r="X77" s="33">
        <f t="shared" si="0"/>
        <v>7.0269586273894555</v>
      </c>
      <c r="Y77" s="34" t="s">
        <v>10</v>
      </c>
      <c r="Z77" s="31"/>
      <c r="AA77" s="32">
        <v>33</v>
      </c>
      <c r="AB77" s="32"/>
      <c r="AC77" s="35"/>
      <c r="AD77" s="31"/>
      <c r="AE77" s="33"/>
      <c r="AF77" s="31"/>
      <c r="AG77" s="33"/>
      <c r="AH77" s="28">
        <f t="shared" si="6"/>
        <v>2.3188963470385207</v>
      </c>
      <c r="AI77" s="42"/>
      <c r="AJ77" s="32"/>
      <c r="AK77" s="32"/>
      <c r="AL77" s="32"/>
      <c r="AM77" s="32"/>
      <c r="AN77" s="32"/>
      <c r="AO77" s="32"/>
      <c r="AP77" s="32">
        <f>X77*AA77%</f>
        <v>2.3188963470385207</v>
      </c>
      <c r="AQ77" s="33"/>
    </row>
    <row r="78" spans="1:43" ht="15" customHeight="1" x14ac:dyDescent="0.2">
      <c r="A78" s="181"/>
      <c r="B78" s="182"/>
      <c r="C78" s="182"/>
      <c r="D78" s="183"/>
      <c r="E78" s="183"/>
      <c r="F78" s="104">
        <v>1.961507860425528</v>
      </c>
      <c r="G78" s="183"/>
      <c r="H78" s="183"/>
      <c r="I78" s="183"/>
      <c r="J78" s="183"/>
      <c r="K78" s="182"/>
      <c r="L78" s="182"/>
      <c r="M78" s="182"/>
      <c r="N78" s="182"/>
      <c r="O78" s="182"/>
      <c r="P78" s="182"/>
      <c r="Q78" s="182"/>
      <c r="R78" s="182"/>
      <c r="S78" s="182"/>
      <c r="T78" s="182"/>
      <c r="U78" s="182"/>
      <c r="V78" s="182"/>
      <c r="W78" s="182"/>
      <c r="X78" s="33">
        <f t="shared" si="0"/>
        <v>1.961507860425528</v>
      </c>
      <c r="Y78" s="184" t="s">
        <v>32</v>
      </c>
      <c r="Z78" s="181"/>
      <c r="AA78" s="32">
        <v>33</v>
      </c>
      <c r="AB78" s="182"/>
      <c r="AC78" s="185"/>
      <c r="AD78" s="31">
        <f>-AE78/$D$2%</f>
        <v>0</v>
      </c>
      <c r="AE78" s="185"/>
      <c r="AF78" s="181"/>
      <c r="AG78" s="186"/>
      <c r="AH78" s="28">
        <f t="shared" si="6"/>
        <v>0.6472975939404243</v>
      </c>
      <c r="AI78" s="187"/>
      <c r="AJ78" s="182"/>
      <c r="AK78" s="182"/>
      <c r="AL78" s="182"/>
      <c r="AM78" s="182"/>
      <c r="AN78" s="182"/>
      <c r="AO78" s="182"/>
      <c r="AP78" s="182"/>
      <c r="AQ78" s="33">
        <f>X78*AA78/100+AE78*AA78%</f>
        <v>0.6472975939404243</v>
      </c>
    </row>
    <row r="79" spans="1:43" ht="15" customHeight="1" x14ac:dyDescent="0.2">
      <c r="A79" s="181"/>
      <c r="B79" s="182"/>
      <c r="C79" s="182"/>
      <c r="D79" s="183"/>
      <c r="E79" s="183"/>
      <c r="F79" s="183"/>
      <c r="G79" s="355">
        <v>14.101352457029225</v>
      </c>
      <c r="H79" s="38">
        <v>7.5706188153660189E-2</v>
      </c>
      <c r="I79" s="183"/>
      <c r="J79" s="183"/>
      <c r="K79" s="182"/>
      <c r="L79" s="182"/>
      <c r="M79" s="182"/>
      <c r="N79" s="182"/>
      <c r="O79" s="182"/>
      <c r="P79" s="182"/>
      <c r="Q79" s="182"/>
      <c r="R79" s="182"/>
      <c r="S79" s="182"/>
      <c r="T79" s="182"/>
      <c r="U79" s="182"/>
      <c r="V79" s="182"/>
      <c r="W79" s="182"/>
      <c r="X79" s="33">
        <f t="shared" si="0"/>
        <v>14.177058645182885</v>
      </c>
      <c r="Y79" s="184" t="s">
        <v>33</v>
      </c>
      <c r="Z79" s="181"/>
      <c r="AA79" s="32">
        <v>33</v>
      </c>
      <c r="AB79" s="182"/>
      <c r="AC79" s="185"/>
      <c r="AD79" s="181"/>
      <c r="AE79" s="186"/>
      <c r="AF79" s="181"/>
      <c r="AG79" s="186"/>
      <c r="AH79" s="28">
        <f t="shared" si="6"/>
        <v>4.6784293529103529</v>
      </c>
      <c r="AI79" s="187"/>
      <c r="AJ79" s="182"/>
      <c r="AK79" s="182"/>
      <c r="AL79" s="182"/>
      <c r="AM79" s="182"/>
      <c r="AN79" s="182"/>
      <c r="AO79" s="182"/>
      <c r="AP79" s="182"/>
      <c r="AQ79" s="33">
        <f>X79*AA79/100</f>
        <v>4.6784293529103529</v>
      </c>
    </row>
    <row r="80" spans="1:43" ht="15" customHeight="1" thickBot="1" x14ac:dyDescent="0.25">
      <c r="A80" s="181"/>
      <c r="B80" s="182"/>
      <c r="C80" s="182"/>
      <c r="D80" s="104">
        <v>1.7412912428201921</v>
      </c>
      <c r="E80" s="183"/>
      <c r="F80" s="104">
        <v>1.3610140263414268</v>
      </c>
      <c r="G80" s="183"/>
      <c r="H80" s="183"/>
      <c r="I80" s="183"/>
      <c r="J80" s="183"/>
      <c r="K80" s="182"/>
      <c r="L80" s="182"/>
      <c r="M80" s="182"/>
      <c r="N80" s="182"/>
      <c r="O80" s="182"/>
      <c r="P80" s="182"/>
      <c r="Q80" s="182"/>
      <c r="R80" s="182"/>
      <c r="S80" s="182"/>
      <c r="T80" s="182"/>
      <c r="U80" s="182"/>
      <c r="V80" s="182"/>
      <c r="W80" s="182"/>
      <c r="X80" s="186">
        <f t="shared" si="0"/>
        <v>3.1023052691616186</v>
      </c>
      <c r="Y80" s="188" t="s">
        <v>11</v>
      </c>
      <c r="Z80" s="189"/>
      <c r="AA80" s="32">
        <v>33</v>
      </c>
      <c r="AB80" s="190"/>
      <c r="AC80" s="191"/>
      <c r="AD80" s="189"/>
      <c r="AE80" s="192"/>
      <c r="AF80" s="189"/>
      <c r="AG80" s="192"/>
      <c r="AH80" s="193">
        <f t="shared" si="6"/>
        <v>1.0237607388233341</v>
      </c>
      <c r="AI80" s="194"/>
      <c r="AJ80" s="190"/>
      <c r="AK80" s="190"/>
      <c r="AL80" s="190"/>
      <c r="AM80" s="190"/>
      <c r="AN80" s="190"/>
      <c r="AO80" s="190"/>
      <c r="AP80" s="190"/>
      <c r="AQ80" s="33">
        <f>X80*AA80/100</f>
        <v>1.0237607388233341</v>
      </c>
    </row>
    <row r="81" spans="1:44" ht="15" customHeight="1" thickBot="1" x14ac:dyDescent="0.25">
      <c r="A81" s="195">
        <f t="shared" ref="A81:W81" si="9">SUM(A8:A80)</f>
        <v>47.766958828937334</v>
      </c>
      <c r="B81" s="196">
        <f t="shared" si="9"/>
        <v>4.5725275630431774</v>
      </c>
      <c r="C81" s="196">
        <f t="shared" si="9"/>
        <v>0</v>
      </c>
      <c r="D81" s="196">
        <f t="shared" si="9"/>
        <v>1.7412912428201921</v>
      </c>
      <c r="E81" s="196">
        <f t="shared" si="9"/>
        <v>93.87</v>
      </c>
      <c r="F81" s="196">
        <f t="shared" si="9"/>
        <v>32.563053705968557</v>
      </c>
      <c r="G81" s="196">
        <f t="shared" si="9"/>
        <v>14.101352457029225</v>
      </c>
      <c r="H81" s="196">
        <f t="shared" si="9"/>
        <v>26.135048824813925</v>
      </c>
      <c r="I81" s="196">
        <f t="shared" si="9"/>
        <v>0</v>
      </c>
      <c r="J81" s="196">
        <f t="shared" si="9"/>
        <v>1.7762934374999999</v>
      </c>
      <c r="K81" s="196">
        <f t="shared" si="9"/>
        <v>0</v>
      </c>
      <c r="L81" s="196">
        <f t="shared" si="9"/>
        <v>9.0274497405664747E-2</v>
      </c>
      <c r="M81" s="196">
        <f t="shared" si="9"/>
        <v>0</v>
      </c>
      <c r="N81" s="196">
        <f t="shared" si="9"/>
        <v>0</v>
      </c>
      <c r="O81" s="196">
        <f t="shared" si="9"/>
        <v>0</v>
      </c>
      <c r="P81" s="196">
        <f t="shared" si="9"/>
        <v>0</v>
      </c>
      <c r="Q81" s="196">
        <f t="shared" si="9"/>
        <v>2.13</v>
      </c>
      <c r="R81" s="196">
        <f t="shared" si="9"/>
        <v>10.23</v>
      </c>
      <c r="S81" s="196">
        <f t="shared" si="9"/>
        <v>12.600000000000001</v>
      </c>
      <c r="T81" s="196">
        <f t="shared" si="9"/>
        <v>0</v>
      </c>
      <c r="U81" s="196">
        <f t="shared" si="9"/>
        <v>0</v>
      </c>
      <c r="V81" s="196">
        <f t="shared" si="9"/>
        <v>0</v>
      </c>
      <c r="W81" s="196">
        <f t="shared" si="9"/>
        <v>0</v>
      </c>
      <c r="X81" s="197">
        <f>SUM(X8:X80)</f>
        <v>247.57680055751808</v>
      </c>
      <c r="Y81" s="198" t="s">
        <v>2</v>
      </c>
      <c r="Z81" s="199"/>
      <c r="AA81" s="199"/>
      <c r="AB81" s="199"/>
      <c r="AC81" s="200"/>
      <c r="AD81" s="195">
        <f t="shared" ref="AD81:AQ81" si="10">SUM(AD8:AD80)</f>
        <v>-1.3322676295501878E-15</v>
      </c>
      <c r="AE81" s="197">
        <f t="shared" si="10"/>
        <v>45.882005923947617</v>
      </c>
      <c r="AF81" s="195">
        <f t="shared" si="10"/>
        <v>0</v>
      </c>
      <c r="AG81" s="197">
        <f t="shared" si="10"/>
        <v>0</v>
      </c>
      <c r="AH81" s="198">
        <f t="shared" si="10"/>
        <v>157.09433861007568</v>
      </c>
      <c r="AI81" s="201">
        <f t="shared" si="10"/>
        <v>106.2984412392285</v>
      </c>
      <c r="AJ81" s="196">
        <f t="shared" si="10"/>
        <v>3.9408478451064068</v>
      </c>
      <c r="AK81" s="196">
        <f t="shared" si="10"/>
        <v>2.1501637000673228</v>
      </c>
      <c r="AL81" s="196">
        <f t="shared" si="10"/>
        <v>4.3702574970096597</v>
      </c>
      <c r="AM81" s="196">
        <f t="shared" si="10"/>
        <v>0.40735125458337662</v>
      </c>
      <c r="AN81" s="196">
        <f t="shared" si="10"/>
        <v>15.062677526928081</v>
      </c>
      <c r="AO81" s="196">
        <f t="shared" si="10"/>
        <v>0</v>
      </c>
      <c r="AP81" s="196">
        <f t="shared" si="10"/>
        <v>6.7360933476734246</v>
      </c>
      <c r="AQ81" s="197">
        <f t="shared" si="10"/>
        <v>18.128506199478885</v>
      </c>
    </row>
    <row r="82" spans="1:44" ht="15" customHeight="1" x14ac:dyDescent="0.25">
      <c r="A82" s="170">
        <f t="shared" ref="A82:V82" si="11">A81*A89/1000</f>
        <v>11.368536201287085</v>
      </c>
      <c r="B82" s="171">
        <f t="shared" si="11"/>
        <v>0.3086456105054145</v>
      </c>
      <c r="C82" s="171">
        <f t="shared" si="11"/>
        <v>0</v>
      </c>
      <c r="D82" s="171">
        <f t="shared" si="11"/>
        <v>0.13686549168566708</v>
      </c>
      <c r="E82" s="171">
        <f t="shared" si="11"/>
        <v>6.9463800000000004</v>
      </c>
      <c r="F82" s="171">
        <f t="shared" si="11"/>
        <v>2.4096659742416731</v>
      </c>
      <c r="G82" s="171">
        <f t="shared" si="11"/>
        <v>1.0152973769061042</v>
      </c>
      <c r="H82" s="171">
        <f t="shared" si="11"/>
        <v>1.9078585642114165</v>
      </c>
      <c r="I82" s="171">
        <f t="shared" si="11"/>
        <v>0</v>
      </c>
      <c r="J82" s="171">
        <f t="shared" si="11"/>
        <v>0</v>
      </c>
      <c r="K82" s="171">
        <f t="shared" si="11"/>
        <v>0</v>
      </c>
      <c r="L82" s="171">
        <f t="shared" si="11"/>
        <v>0</v>
      </c>
      <c r="M82" s="171">
        <f t="shared" si="11"/>
        <v>0</v>
      </c>
      <c r="N82" s="171">
        <v>0</v>
      </c>
      <c r="O82" s="171">
        <f t="shared" si="11"/>
        <v>0</v>
      </c>
      <c r="P82" s="171">
        <f t="shared" si="11"/>
        <v>0</v>
      </c>
      <c r="Q82" s="171">
        <f t="shared" si="11"/>
        <v>0</v>
      </c>
      <c r="R82" s="171">
        <f t="shared" si="11"/>
        <v>0</v>
      </c>
      <c r="S82" s="171">
        <f t="shared" si="11"/>
        <v>0</v>
      </c>
      <c r="T82" s="171">
        <f t="shared" si="11"/>
        <v>0</v>
      </c>
      <c r="U82" s="171">
        <f t="shared" si="11"/>
        <v>0</v>
      </c>
      <c r="V82" s="171">
        <f t="shared" si="11"/>
        <v>0</v>
      </c>
      <c r="W82" s="171">
        <f>W81*W89/1000</f>
        <v>0</v>
      </c>
      <c r="X82" s="172">
        <f>SUM(A82:W82)</f>
        <v>24.093249218837361</v>
      </c>
      <c r="Y82" s="202" t="s">
        <v>243</v>
      </c>
      <c r="Z82" s="203">
        <f>X82*1000/D1</f>
        <v>9.5912616317027712</v>
      </c>
      <c r="AA82" s="204" t="s">
        <v>12</v>
      </c>
      <c r="AB82" s="204"/>
      <c r="AC82" s="205"/>
      <c r="AD82" s="178"/>
      <c r="AE82" s="178"/>
      <c r="AF82" s="178"/>
      <c r="AG82" s="178"/>
      <c r="AH82" s="178"/>
      <c r="AI82" s="178"/>
      <c r="AJ82" s="178"/>
      <c r="AK82" s="178"/>
      <c r="AL82" s="178"/>
      <c r="AM82" s="178"/>
      <c r="AN82" s="178"/>
      <c r="AO82" s="178"/>
      <c r="AP82" s="178"/>
      <c r="AQ82" s="178"/>
    </row>
    <row r="83" spans="1:44" ht="15" customHeight="1" x14ac:dyDescent="0.2">
      <c r="A83" s="31"/>
      <c r="B83" s="32"/>
      <c r="C83" s="32"/>
      <c r="D83" s="32"/>
      <c r="E83" s="32"/>
      <c r="F83" s="32"/>
      <c r="G83" s="32"/>
      <c r="H83" s="32"/>
      <c r="I83" s="32"/>
      <c r="J83" s="32"/>
      <c r="K83" s="32"/>
      <c r="L83" s="32"/>
      <c r="M83" s="32"/>
      <c r="N83" s="32"/>
      <c r="O83" s="81">
        <v>17.615490081852229</v>
      </c>
      <c r="P83" s="81">
        <v>28.261805759999998</v>
      </c>
      <c r="Q83" s="81">
        <v>3.5788863076193205</v>
      </c>
      <c r="R83" s="81">
        <v>129.80679812982115</v>
      </c>
      <c r="S83" s="32"/>
      <c r="T83" s="32"/>
      <c r="U83" s="32"/>
      <c r="V83" s="32"/>
      <c r="W83" s="32"/>
      <c r="X83" s="33">
        <f>SUM(A83:W83)</f>
        <v>179.26298027929269</v>
      </c>
      <c r="Y83" s="28" t="s">
        <v>35</v>
      </c>
      <c r="Z83" s="25">
        <f>(SUM(J14:V14)+AD15*A87%+SUM(J19:V19)+SUM(J20:V20)+SUM(J21:V21)+SUM(J22:V22)+SUM(J25:V25)+SUM(J72:V72)+SUM(J73:V73)+SUM(J74:V74)+SUM(J75:V75)+SUM(J76:V76)+SUM(J77:V77)+SUM(J78:V78)+SUM(J79:V79)+SUM(J80:V80)+SUM(J26:V26)*(Z26%+AB26%)+SUM(J27:V27)*(Z27%+AB27%)+SUM(J28:V28)*(Z28%+AB28%)+SUM(J29:V29)*(Z29%+AB29%)+SUM(J30:V30)*(Z30%+AB30%)+SUM(J32:V32)*(Z32%+AA32%+AB32%)+SUM(J31:V31)*(AA31%)+SUM(J33:V33)*(Z33%+AB33%)+SUM(J34:V34)*(Z34%+AB34%)+SUM(J35:V35)*(Z35%+AB35%)+SUM(J36:V36)*(Z36%+AB36%)+SUM(J37:V37)*(Z37%+AB37%)+SUM(J40:V40)*(Z40%+AB40%)+SUM(J41:V41)*(Z41%+AB41%)+SUM(J42:V42)*(Z42%+AB42%)+SUM(J44:V44)*(Z44%+AB44%)+SUM(J45:V45)*(Z45%+AB45%)+SUM(J46:V46)*(Z46%+AB46%)+SUM(J47:V47)*(Z47%+AB47%)+SUM(J48:V48)*(Z48%+AB48%)+SUM(J50:V50)*(Z50%+AB50%)+SUM(J51:V51)*(Z51%+AB51%)+SUM(J53:V53)*(Z53%+AA53%+AB53%)+SUM(J54:V54)*(Z54%+AA54%+AB54%)+SUM(J56:V56)*(Z56%+AB56%)+SUM(J57:V57)*(Z57%+AB57%)+SUM(J59:V59)*(Z59%+AB59%)+SUM(J60:V60)*(Z60%+AB60%)+SUM(J61:V61)*(Z61%+AB61%)+SUM(J63:V63)*(Z63%+AB63%)+SUM(J64:V64)*(Z64%+AB64%)+SUM(J65:V65)*(Z65%+AB65%)+SUM(J66:V66)*(Z66%+AB66%)+SUM(J67:V67)*(Z67%+AB67%)+SUM(J68:V68)*(Z68%+AB68%))/(SUM(X8:X14)+SUM(X16:X25)+SUM(X72:X80)+(AG39/AC39%+AG43/AC43%+AG52/AC52%+AG55/AC55%+AG62/AC62%+AG71/AC71%)+AE81+SUM(AE8:AE14)*(1-D2%)+(-AF70))*100</f>
        <v>10.847509766287278</v>
      </c>
      <c r="AA83" s="2" t="s">
        <v>210</v>
      </c>
      <c r="AB83" s="121"/>
      <c r="AC83" s="356"/>
      <c r="AD83" s="178"/>
      <c r="AE83" s="178"/>
      <c r="AF83" s="178"/>
      <c r="AG83" s="178"/>
      <c r="AH83" s="178"/>
      <c r="AI83" s="178"/>
      <c r="AJ83" s="178"/>
      <c r="AK83" s="178"/>
      <c r="AL83" s="178"/>
      <c r="AM83" s="178"/>
      <c r="AN83" s="178"/>
      <c r="AO83" s="178"/>
      <c r="AP83" s="178"/>
      <c r="AQ83" s="178"/>
    </row>
    <row r="84" spans="1:44" ht="15" customHeight="1" thickBot="1" x14ac:dyDescent="0.25">
      <c r="A84" s="189"/>
      <c r="B84" s="190"/>
      <c r="C84" s="190"/>
      <c r="D84" s="190"/>
      <c r="E84" s="190"/>
      <c r="F84" s="190"/>
      <c r="G84" s="190"/>
      <c r="H84" s="190"/>
      <c r="I84" s="190"/>
      <c r="J84" s="190" t="str">
        <f>IF(J83&gt;0,J81/J83*100,"")</f>
        <v/>
      </c>
      <c r="K84" s="190" t="str">
        <f t="shared" ref="K84:W84" si="12">IF(K83&gt;0,K81/K83*100,"")</f>
        <v/>
      </c>
      <c r="L84" s="190" t="str">
        <f t="shared" si="12"/>
        <v/>
      </c>
      <c r="M84" s="190" t="str">
        <f t="shared" si="12"/>
        <v/>
      </c>
      <c r="N84" s="190" t="str">
        <f t="shared" si="12"/>
        <v/>
      </c>
      <c r="O84" s="190">
        <f t="shared" si="12"/>
        <v>0</v>
      </c>
      <c r="P84" s="190">
        <f t="shared" si="12"/>
        <v>0</v>
      </c>
      <c r="Q84" s="190">
        <f t="shared" si="12"/>
        <v>59.515721286404279</v>
      </c>
      <c r="R84" s="190">
        <f t="shared" si="12"/>
        <v>7.8809431766192013</v>
      </c>
      <c r="S84" s="190" t="str">
        <f t="shared" si="12"/>
        <v/>
      </c>
      <c r="T84" s="190" t="str">
        <f t="shared" si="12"/>
        <v/>
      </c>
      <c r="U84" s="190" t="str">
        <f t="shared" si="12"/>
        <v/>
      </c>
      <c r="V84" s="190" t="str">
        <f>IF(V83&gt;0,V81/V83*100,"")</f>
        <v/>
      </c>
      <c r="W84" s="190" t="str">
        <f t="shared" si="12"/>
        <v/>
      </c>
      <c r="X84" s="192">
        <f>SUMIF(J83:W83,"&gt;0",J81:W81)/SUM(J83:W83)%</f>
        <v>6.8948981996969216</v>
      </c>
      <c r="Y84" s="193" t="s">
        <v>38</v>
      </c>
      <c r="Z84" s="357">
        <f>SUM(J81:V81)/X81*100</f>
        <v>10.835654986450642</v>
      </c>
      <c r="AA84" s="26" t="s">
        <v>244</v>
      </c>
      <c r="AB84" s="124"/>
      <c r="AC84" s="358"/>
      <c r="AD84" s="178"/>
      <c r="AE84" s="178"/>
      <c r="AF84" s="178"/>
      <c r="AG84" s="178"/>
      <c r="AH84" s="178"/>
      <c r="AI84" s="178"/>
      <c r="AJ84" s="178"/>
      <c r="AK84" s="178"/>
      <c r="AL84" s="178"/>
      <c r="AM84" s="178"/>
      <c r="AN84" s="178"/>
      <c r="AO84" s="178"/>
      <c r="AP84" s="178"/>
      <c r="AQ84" s="178"/>
    </row>
    <row r="85" spans="1:44" ht="15" customHeight="1" thickBo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156"/>
      <c r="AD85" s="3"/>
      <c r="AE85" s="3"/>
      <c r="AF85" s="3"/>
      <c r="AG85" s="3"/>
      <c r="AH85" s="3"/>
      <c r="AI85" s="3"/>
      <c r="AJ85" s="3"/>
      <c r="AK85" s="3"/>
      <c r="AL85" s="3"/>
      <c r="AM85" s="3"/>
      <c r="AN85" s="3"/>
      <c r="AO85" s="3"/>
      <c r="AP85" s="3"/>
      <c r="AQ85" s="3"/>
    </row>
    <row r="86" spans="1:44" ht="17.25" customHeight="1" x14ac:dyDescent="0.2">
      <c r="A86" s="206" t="s">
        <v>122</v>
      </c>
      <c r="B86" s="410" t="str">
        <f t="shared" ref="B86:W86" si="13">B7</f>
        <v xml:space="preserve">  LPG og petroleum</v>
      </c>
      <c r="C86" s="410" t="str">
        <f t="shared" si="13"/>
        <v xml:space="preserve">  Kul</v>
      </c>
      <c r="D86" s="410" t="str">
        <f t="shared" si="13"/>
        <v xml:space="preserve">  Fuelolie</v>
      </c>
      <c r="E86" s="410" t="str">
        <f t="shared" si="13"/>
        <v xml:space="preserve">  Brændselsolie</v>
      </c>
      <c r="F86" s="410" t="str">
        <f t="shared" si="13"/>
        <v xml:space="preserve">  Dieselolie</v>
      </c>
      <c r="G86" s="410" t="str">
        <f t="shared" si="13"/>
        <v xml:space="preserve">  JP1</v>
      </c>
      <c r="H86" s="410" t="str">
        <f t="shared" si="13"/>
        <v xml:space="preserve">  Benzin</v>
      </c>
      <c r="I86" s="410" t="str">
        <f t="shared" si="13"/>
        <v xml:space="preserve">  Naturgas</v>
      </c>
      <c r="J86" s="410" t="str">
        <f t="shared" si="13"/>
        <v xml:space="preserve">  Vindenergi</v>
      </c>
      <c r="K86" s="410" t="str">
        <f t="shared" si="13"/>
        <v xml:space="preserve">  Vandenergi</v>
      </c>
      <c r="L86" s="410" t="str">
        <f t="shared" si="13"/>
        <v xml:space="preserve">  Solenergi</v>
      </c>
      <c r="M86" s="410" t="str">
        <f t="shared" si="13"/>
        <v xml:space="preserve">  Geotermi</v>
      </c>
      <c r="N86" s="410" t="str">
        <f t="shared" si="13"/>
        <v xml:space="preserve">  Varmekilder til varmepumper</v>
      </c>
      <c r="O86" s="410" t="str">
        <f t="shared" si="13"/>
        <v xml:space="preserve">  Husdyrsgødning</v>
      </c>
      <c r="P86" s="410" t="str">
        <f t="shared" si="13"/>
        <v xml:space="preserve">  Biobrændstof og energiafgrøder</v>
      </c>
      <c r="Q86" s="410" t="str">
        <f t="shared" si="13"/>
        <v xml:space="preserve">  Halm</v>
      </c>
      <c r="R86" s="410" t="str">
        <f t="shared" si="13"/>
        <v xml:space="preserve">  Brænde og træflis</v>
      </c>
      <c r="S86" s="410" t="str">
        <f t="shared" si="13"/>
        <v xml:space="preserve">  Træpiller og træaffald</v>
      </c>
      <c r="T86" s="410" t="str">
        <f t="shared" si="13"/>
        <v xml:space="preserve">  Organisk affald, industri</v>
      </c>
      <c r="U86" s="410" t="str">
        <f t="shared" si="13"/>
        <v xml:space="preserve">  Organisk affald, husholdninger</v>
      </c>
      <c r="V86" s="410" t="str">
        <f t="shared" si="13"/>
        <v xml:space="preserve">  Deponi, slam, renseanlæg</v>
      </c>
      <c r="W86" s="413" t="str">
        <f t="shared" si="13"/>
        <v xml:space="preserve">  Affald, ikke bionedbrydeligt</v>
      </c>
      <c r="X86" s="3"/>
      <c r="Y86" s="3"/>
      <c r="Z86" s="3"/>
      <c r="AA86" s="3"/>
      <c r="AB86" s="3"/>
      <c r="AC86" s="156"/>
      <c r="AD86" s="3"/>
      <c r="AE86" s="3"/>
      <c r="AF86" s="3"/>
      <c r="AG86" s="3"/>
      <c r="AH86" s="3"/>
      <c r="AI86" s="3"/>
      <c r="AJ86" s="3"/>
      <c r="AK86" s="3"/>
      <c r="AL86" s="3"/>
      <c r="AM86" s="3"/>
      <c r="AN86" s="3"/>
      <c r="AO86" s="3"/>
      <c r="AP86" s="3"/>
      <c r="AQ86" s="3"/>
    </row>
    <row r="87" spans="1:44" x14ac:dyDescent="0.2">
      <c r="A87" s="207">
        <v>0</v>
      </c>
      <c r="B87" s="411"/>
      <c r="C87" s="411"/>
      <c r="D87" s="411"/>
      <c r="E87" s="411"/>
      <c r="F87" s="411"/>
      <c r="G87" s="411"/>
      <c r="H87" s="411"/>
      <c r="I87" s="411"/>
      <c r="J87" s="411"/>
      <c r="K87" s="411"/>
      <c r="L87" s="411"/>
      <c r="M87" s="411"/>
      <c r="N87" s="411"/>
      <c r="O87" s="411"/>
      <c r="P87" s="411"/>
      <c r="Q87" s="411"/>
      <c r="R87" s="411"/>
      <c r="S87" s="411"/>
      <c r="T87" s="411"/>
      <c r="U87" s="411"/>
      <c r="V87" s="411"/>
      <c r="W87" s="414"/>
      <c r="X87" s="3"/>
      <c r="Y87" s="3"/>
      <c r="Z87" s="3"/>
      <c r="AA87" s="3"/>
      <c r="AB87" s="3"/>
      <c r="AC87" s="156"/>
      <c r="AD87" s="3"/>
      <c r="AE87" s="3"/>
      <c r="AF87" s="3"/>
      <c r="AG87" s="3"/>
      <c r="AH87" s="3"/>
      <c r="AI87" s="3"/>
      <c r="AJ87" s="3"/>
      <c r="AK87" s="3"/>
      <c r="AL87" s="3"/>
      <c r="AM87" s="3"/>
      <c r="AN87" s="3"/>
      <c r="AO87" s="3"/>
      <c r="AP87" s="3"/>
      <c r="AQ87" s="3"/>
    </row>
    <row r="88" spans="1:44" ht="123" customHeight="1" thickBot="1" x14ac:dyDescent="0.25">
      <c r="A88" s="208" t="s">
        <v>123</v>
      </c>
      <c r="B88" s="412"/>
      <c r="C88" s="412"/>
      <c r="D88" s="412"/>
      <c r="E88" s="412"/>
      <c r="F88" s="412"/>
      <c r="G88" s="412"/>
      <c r="H88" s="412"/>
      <c r="I88" s="412"/>
      <c r="J88" s="412"/>
      <c r="K88" s="412"/>
      <c r="L88" s="412"/>
      <c r="M88" s="412"/>
      <c r="N88" s="412"/>
      <c r="O88" s="412"/>
      <c r="P88" s="412"/>
      <c r="Q88" s="412"/>
      <c r="R88" s="412"/>
      <c r="S88" s="412"/>
      <c r="T88" s="412"/>
      <c r="U88" s="412"/>
      <c r="V88" s="412"/>
      <c r="W88" s="415"/>
      <c r="X88" s="3"/>
      <c r="Y88" s="3"/>
      <c r="Z88" s="3"/>
      <c r="AA88" s="3"/>
      <c r="AB88" s="3"/>
      <c r="AC88" s="156"/>
      <c r="AD88" s="3"/>
      <c r="AE88" s="3"/>
      <c r="AF88" s="3"/>
      <c r="AG88" s="3"/>
      <c r="AH88" s="3"/>
      <c r="AI88" s="3"/>
      <c r="AJ88" s="3"/>
      <c r="AK88" s="3"/>
      <c r="AL88" s="3"/>
      <c r="AM88" s="3"/>
      <c r="AN88" s="3"/>
      <c r="AO88" s="3"/>
      <c r="AP88" s="3"/>
      <c r="AQ88" s="3"/>
    </row>
    <row r="89" spans="1:44" s="215" customFormat="1" ht="15" customHeight="1" thickBot="1" x14ac:dyDescent="0.25">
      <c r="A89" s="129">
        <v>238</v>
      </c>
      <c r="B89" s="47">
        <v>67.5</v>
      </c>
      <c r="C89" s="47">
        <v>94</v>
      </c>
      <c r="D89" s="47">
        <v>78.599999999999994</v>
      </c>
      <c r="E89" s="47">
        <v>74</v>
      </c>
      <c r="F89" s="47">
        <v>74</v>
      </c>
      <c r="G89" s="47">
        <v>72</v>
      </c>
      <c r="H89" s="47">
        <v>73</v>
      </c>
      <c r="I89" s="47">
        <v>56.9</v>
      </c>
      <c r="J89" s="209"/>
      <c r="K89" s="209"/>
      <c r="L89" s="209"/>
      <c r="M89" s="209"/>
      <c r="N89" s="210"/>
      <c r="O89" s="209"/>
      <c r="P89" s="209"/>
      <c r="Q89" s="209"/>
      <c r="R89" s="209"/>
      <c r="S89" s="209"/>
      <c r="T89" s="209"/>
      <c r="U89" s="209"/>
      <c r="V89" s="210"/>
      <c r="W89" s="48">
        <v>82.22</v>
      </c>
      <c r="X89" s="211" t="s">
        <v>245</v>
      </c>
      <c r="Y89" s="212"/>
      <c r="Z89" s="213"/>
      <c r="AA89" s="213"/>
      <c r="AB89" s="213"/>
      <c r="AC89" s="214"/>
      <c r="AD89" s="213"/>
      <c r="AE89" s="213"/>
      <c r="AF89" s="213"/>
      <c r="AG89" s="213"/>
      <c r="AH89" s="213"/>
      <c r="AI89" s="213"/>
      <c r="AJ89" s="213"/>
      <c r="AK89" s="213"/>
      <c r="AL89" s="213"/>
      <c r="AM89" s="213"/>
      <c r="AN89" s="213"/>
      <c r="AO89" s="213"/>
      <c r="AP89" s="213"/>
      <c r="AQ89" s="213"/>
    </row>
    <row r="90" spans="1:44" x14ac:dyDescent="0.2">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216"/>
      <c r="AD90" s="174"/>
      <c r="AE90" s="174"/>
      <c r="AF90" s="174"/>
      <c r="AG90" s="174"/>
      <c r="AH90" s="174"/>
      <c r="AI90" s="174"/>
      <c r="AJ90" s="174"/>
      <c r="AK90" s="174"/>
      <c r="AL90" s="174"/>
      <c r="AM90" s="174"/>
      <c r="AN90" s="174"/>
      <c r="AO90" s="174"/>
      <c r="AP90" s="174"/>
      <c r="AQ90" s="174"/>
      <c r="AR90" s="174"/>
    </row>
    <row r="91" spans="1:44" x14ac:dyDescent="0.2">
      <c r="Y91" s="174"/>
    </row>
    <row r="92" spans="1:44" x14ac:dyDescent="0.2">
      <c r="Y92" s="3"/>
    </row>
    <row r="93" spans="1:44" ht="12.75" customHeight="1" x14ac:dyDescent="0.3">
      <c r="A93" s="217"/>
      <c r="Y93" s="174"/>
    </row>
    <row r="95" spans="1:44" x14ac:dyDescent="0.2">
      <c r="Y95" s="174"/>
    </row>
    <row r="96" spans="1:44" x14ac:dyDescent="0.2">
      <c r="Y96" s="174"/>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8ACB0-C7CC-4238-849F-84DE6C2F0339}">
  <sheetPr>
    <pageSetUpPr fitToPage="1"/>
  </sheetPr>
  <dimension ref="A1:AY1516"/>
  <sheetViews>
    <sheetView showGridLines="0" topLeftCell="A4" zoomScale="70" zoomScaleNormal="70" workbookViewId="0">
      <selection activeCell="O40" sqref="O40"/>
    </sheetView>
  </sheetViews>
  <sheetFormatPr defaultColWidth="9.140625" defaultRowHeight="12.75" x14ac:dyDescent="0.2"/>
  <cols>
    <col min="1" max="1" width="9.140625" style="136"/>
    <col min="2" max="2" width="42.5703125" style="136" customWidth="1"/>
    <col min="3" max="6" width="14.42578125" style="136" customWidth="1"/>
    <col min="7" max="7" width="17" style="136" customWidth="1"/>
    <col min="8" max="8" width="16.85546875" style="136" customWidth="1"/>
    <col min="9" max="33" width="14.42578125" style="136" customWidth="1"/>
    <col min="34" max="16384" width="9.140625" style="136"/>
  </cols>
  <sheetData>
    <row r="1" spans="1:51" x14ac:dyDescent="0.2">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ht="23.25" x14ac:dyDescent="0.35">
      <c r="A2" s="261" t="s">
        <v>125</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x14ac:dyDescent="0.2">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x14ac:dyDescent="0.2">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x14ac:dyDescent="0.2">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x14ac:dyDescent="0.2">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x14ac:dyDescent="0.2">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x14ac:dyDescent="0.2">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x14ac:dyDescent="0.2">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x14ac:dyDescent="0.2">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x14ac:dyDescent="0.2">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row>
    <row r="12" spans="1:51" x14ac:dyDescent="0.2">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x14ac:dyDescent="0.2">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row>
    <row r="14" spans="1:51" x14ac:dyDescent="0.2">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row>
    <row r="15" spans="1:51" x14ac:dyDescent="0.2">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x14ac:dyDescent="0.2">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row>
    <row r="17" spans="19:51" x14ac:dyDescent="0.2">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row>
    <row r="18" spans="19:51" x14ac:dyDescent="0.2">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row>
    <row r="19" spans="19:51" x14ac:dyDescent="0.2">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9:51" x14ac:dyDescent="0.2">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9:51" x14ac:dyDescent="0.2">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9:51" x14ac:dyDescent="0.2">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9:51" x14ac:dyDescent="0.2">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row>
    <row r="24" spans="19:51" x14ac:dyDescent="0.2">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row>
    <row r="25" spans="19:51" x14ac:dyDescent="0.2">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9:51" x14ac:dyDescent="0.2">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9:51" x14ac:dyDescent="0.2">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row r="28" spans="19:51" x14ac:dyDescent="0.2">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9:51" x14ac:dyDescent="0.2">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row>
    <row r="30" spans="19:51" x14ac:dyDescent="0.2">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9:51" x14ac:dyDescent="0.2">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9:51" x14ac:dyDescent="0.2">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9:51" x14ac:dyDescent="0.2">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9:51" x14ac:dyDescent="0.2">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row>
    <row r="35" spans="19:51" x14ac:dyDescent="0.2">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9:51" x14ac:dyDescent="0.2">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9:51" x14ac:dyDescent="0.2">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row>
    <row r="38" spans="19:51" x14ac:dyDescent="0.2">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row>
    <row r="39" spans="19:51" x14ac:dyDescent="0.2">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9:51" x14ac:dyDescent="0.2">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row>
    <row r="41" spans="19:51" x14ac:dyDescent="0.2">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row>
    <row r="42" spans="19:51" x14ac:dyDescent="0.2">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row>
    <row r="43" spans="19:51" x14ac:dyDescent="0.2">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row>
    <row r="44" spans="19:51" x14ac:dyDescent="0.2">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row>
    <row r="45" spans="19:51" x14ac:dyDescent="0.2">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row>
    <row r="46" spans="19:51" x14ac:dyDescent="0.2">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9:51" x14ac:dyDescent="0.2">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9:51" x14ac:dyDescent="0.2">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x14ac:dyDescent="0.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x14ac:dyDescent="0.2">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ht="33.75" customHeight="1" x14ac:dyDescent="0.2">
      <c r="A51" s="6"/>
      <c r="B51" s="262" t="s">
        <v>126</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x14ac:dyDescent="0.2">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x14ac:dyDescent="0.2">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x14ac:dyDescent="0.2">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x14ac:dyDescent="0.2">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row>
    <row r="56" spans="1:51" x14ac:dyDescent="0.2">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x14ac:dyDescent="0.2">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x14ac:dyDescent="0.2">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x14ac:dyDescent="0.2">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x14ac:dyDescent="0.2">
      <c r="B60" s="145"/>
      <c r="C60" s="141">
        <v>2018</v>
      </c>
      <c r="D60" s="141" t="s">
        <v>220</v>
      </c>
      <c r="E60" s="141" t="s">
        <v>221</v>
      </c>
      <c r="F60" s="226"/>
      <c r="G60" s="226"/>
      <c r="H60" s="22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ht="15.75" x14ac:dyDescent="0.3">
      <c r="B61" s="145" t="s">
        <v>208</v>
      </c>
      <c r="C61" s="263">
        <f>'2018'!$Z$83</f>
        <v>44.511658114988094</v>
      </c>
      <c r="D61" s="263">
        <f>'BAU2030'!$Z$83</f>
        <v>60.815741292581841</v>
      </c>
      <c r="E61" s="263">
        <f>'BAU2050'!$Z$83</f>
        <v>70.359974176945286</v>
      </c>
      <c r="F61" s="264"/>
      <c r="G61" s="264"/>
      <c r="H61" s="264"/>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ht="15.75" x14ac:dyDescent="0.3">
      <c r="B62" s="145" t="s">
        <v>209</v>
      </c>
      <c r="C62" s="263">
        <f>'2018'!$Z$84</f>
        <v>37.851648833952154</v>
      </c>
      <c r="D62" s="263">
        <f>'BAU2030'!$Z$84</f>
        <v>42.089616700580237</v>
      </c>
      <c r="E62" s="263">
        <f>'BAU2050'!$Z$84</f>
        <v>45.42681395030241</v>
      </c>
      <c r="F62" s="264"/>
      <c r="G62" s="264"/>
      <c r="H62" s="264"/>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x14ac:dyDescent="0.2">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x14ac:dyDescent="0.2">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9:51" x14ac:dyDescent="0.2">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9:51" x14ac:dyDescent="0.2">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9:51" x14ac:dyDescent="0.2">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9:51" x14ac:dyDescent="0.2">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9:51" x14ac:dyDescent="0.2">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9:51" x14ac:dyDescent="0.2">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9:51" x14ac:dyDescent="0.2">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9:51" x14ac:dyDescent="0.2">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9:51" x14ac:dyDescent="0.2">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9:51" x14ac:dyDescent="0.2">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9:51" x14ac:dyDescent="0.2">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9:51" x14ac:dyDescent="0.2">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9:51" x14ac:dyDescent="0.2">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9:51" x14ac:dyDescent="0.2">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9:51" x14ac:dyDescent="0.2">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9:51" x14ac:dyDescent="0.2">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x14ac:dyDescent="0.2">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x14ac:dyDescent="0.2">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x14ac:dyDescent="0.2">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x14ac:dyDescent="0.2">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x14ac:dyDescent="0.2">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x14ac:dyDescent="0.2">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x14ac:dyDescent="0.2">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x14ac:dyDescent="0.2">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x14ac:dyDescent="0.2">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ht="33.75" customHeight="1" x14ac:dyDescent="0.2">
      <c r="A90" s="6"/>
      <c r="B90" s="262" t="s">
        <v>127</v>
      </c>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x14ac:dyDescent="0.2">
      <c r="G91" s="15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x14ac:dyDescent="0.2">
      <c r="G92" s="15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x14ac:dyDescent="0.2">
      <c r="G93" s="15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x14ac:dyDescent="0.2">
      <c r="G94" s="15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x14ac:dyDescent="0.2">
      <c r="G95" s="15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x14ac:dyDescent="0.2">
      <c r="G96" s="15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x14ac:dyDescent="0.2">
      <c r="G97" s="15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x14ac:dyDescent="0.2">
      <c r="G98" s="156"/>
      <c r="H98" s="15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x14ac:dyDescent="0.2">
      <c r="G99" s="15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x14ac:dyDescent="0.2">
      <c r="B100" s="265" t="s">
        <v>128</v>
      </c>
      <c r="C100" s="142" t="s">
        <v>129</v>
      </c>
      <c r="D100" s="142" t="s">
        <v>129</v>
      </c>
      <c r="E100" s="142" t="s">
        <v>129</v>
      </c>
      <c r="F100" s="266"/>
      <c r="G100" s="266"/>
      <c r="H100" s="266"/>
      <c r="I100" s="266"/>
      <c r="J100" s="156"/>
      <c r="L100" s="156"/>
      <c r="S100" s="7"/>
      <c r="T100" s="7"/>
      <c r="U100" s="7"/>
      <c r="V100" s="7"/>
      <c r="W100" s="7"/>
      <c r="X100" s="7"/>
      <c r="Y100" s="7"/>
      <c r="Z100" s="7"/>
      <c r="AA100" s="7"/>
      <c r="AB100" s="6"/>
      <c r="AC100" s="6"/>
      <c r="AD100" s="6"/>
      <c r="AE100" s="6"/>
      <c r="AF100" s="6"/>
      <c r="AG100" s="6"/>
      <c r="AH100" s="6"/>
      <c r="AI100" s="6"/>
      <c r="AJ100" s="6"/>
      <c r="AK100" s="6"/>
      <c r="AL100" s="6"/>
      <c r="AM100" s="6"/>
      <c r="AN100" s="6"/>
      <c r="AO100" s="6"/>
      <c r="AP100" s="6"/>
      <c r="AQ100" s="6"/>
      <c r="AR100" s="6"/>
      <c r="AS100" s="6"/>
      <c r="AT100" s="6"/>
      <c r="AU100" s="6"/>
      <c r="AV100" s="6"/>
    </row>
    <row r="101" spans="1:51" x14ac:dyDescent="0.2">
      <c r="B101" s="145"/>
      <c r="C101" s="141">
        <v>2018</v>
      </c>
      <c r="D101" s="141" t="s">
        <v>220</v>
      </c>
      <c r="E101" s="141" t="s">
        <v>221</v>
      </c>
      <c r="F101" s="267"/>
      <c r="G101" s="267"/>
      <c r="H101" s="267"/>
      <c r="I101" s="268"/>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row>
    <row r="102" spans="1:51" ht="12.75" customHeight="1" x14ac:dyDescent="0.2">
      <c r="A102" s="423" t="s">
        <v>130</v>
      </c>
      <c r="B102" s="269" t="s">
        <v>131</v>
      </c>
      <c r="C102" s="38">
        <f>'2018'!$A$81*(1-'2018'!$A$87%)</f>
        <v>20.435576952916406</v>
      </c>
      <c r="D102" s="38">
        <f>'BAU2030'!$A$81*(1-'BAU2030'!$A$87%)</f>
        <v>0</v>
      </c>
      <c r="E102" s="38">
        <f>'BAU2050'!$A$81*(1-'BAU2050'!$A$87%)</f>
        <v>0</v>
      </c>
      <c r="F102" s="178"/>
      <c r="G102" s="178"/>
      <c r="H102" s="178"/>
      <c r="I102" s="178"/>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row>
    <row r="103" spans="1:51" ht="12.75" customHeight="1" x14ac:dyDescent="0.2">
      <c r="A103" s="424"/>
      <c r="B103" s="269" t="s">
        <v>132</v>
      </c>
      <c r="C103" s="38">
        <f>'2018'!$C$81</f>
        <v>0</v>
      </c>
      <c r="D103" s="38">
        <f>'BAU2030'!$C$81</f>
        <v>0</v>
      </c>
      <c r="E103" s="38">
        <f>'BAU2050'!$C$81</f>
        <v>0</v>
      </c>
      <c r="F103" s="178"/>
      <c r="G103" s="178"/>
      <c r="H103" s="178"/>
      <c r="I103" s="178"/>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row>
    <row r="104" spans="1:51" x14ac:dyDescent="0.2">
      <c r="A104" s="424"/>
      <c r="B104" s="269" t="s">
        <v>133</v>
      </c>
      <c r="C104" s="38">
        <f>'2018'!$I$81+'2018'!$B$81</f>
        <v>0.89</v>
      </c>
      <c r="D104" s="38">
        <f>'BAU2030'!$I$81+'BAU2030'!$B$81</f>
        <v>0.89</v>
      </c>
      <c r="E104" s="38">
        <f>'BAU2050'!$I$81+'BAU2050'!$B$81</f>
        <v>0.89</v>
      </c>
      <c r="F104" s="178"/>
      <c r="G104" s="178"/>
      <c r="H104" s="178"/>
      <c r="I104" s="178"/>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row>
    <row r="105" spans="1:51" x14ac:dyDescent="0.2">
      <c r="A105" s="424"/>
      <c r="B105" s="269" t="s">
        <v>134</v>
      </c>
      <c r="C105" s="38">
        <f>'2018'!$D$81</f>
        <v>1E-3</v>
      </c>
      <c r="D105" s="38">
        <f>'BAU2030'!$D$81</f>
        <v>9.8780000000000005E-4</v>
      </c>
      <c r="E105" s="38">
        <f>'BAU2050'!$D$81</f>
        <v>9.8780000000000005E-4</v>
      </c>
      <c r="F105" s="178"/>
      <c r="G105" s="178"/>
      <c r="H105" s="178"/>
      <c r="I105" s="178"/>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row>
    <row r="106" spans="1:51" x14ac:dyDescent="0.2">
      <c r="A106" s="424"/>
      <c r="B106" s="269" t="s">
        <v>135</v>
      </c>
      <c r="C106" s="38">
        <f>'2018'!$E$81+'2018'!$F$81</f>
        <v>81.932789999999997</v>
      </c>
      <c r="D106" s="38">
        <f>'BAU2030'!$E$81+'BAU2030'!$F$81</f>
        <v>59.795525647000005</v>
      </c>
      <c r="E106" s="38">
        <f>'BAU2050'!$E$81+'BAU2050'!$F$81</f>
        <v>44.189603589000001</v>
      </c>
      <c r="F106" s="178"/>
      <c r="G106" s="178"/>
      <c r="H106" s="178"/>
      <c r="I106" s="178"/>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row>
    <row r="107" spans="1:51" x14ac:dyDescent="0.2">
      <c r="A107" s="424"/>
      <c r="B107" s="269" t="s">
        <v>136</v>
      </c>
      <c r="C107" s="38">
        <f>'2018'!$G$81</f>
        <v>13.98</v>
      </c>
      <c r="D107" s="38">
        <f>'BAU2030'!$G$81</f>
        <v>16.310466000000002</v>
      </c>
      <c r="E107" s="38">
        <f>'BAU2050'!$G$81</f>
        <v>16.310466000000002</v>
      </c>
      <c r="F107" s="178"/>
      <c r="G107" s="178"/>
      <c r="H107" s="178"/>
      <c r="I107" s="178"/>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row>
    <row r="108" spans="1:51" x14ac:dyDescent="0.2">
      <c r="A108" s="424"/>
      <c r="B108" s="269" t="s">
        <v>137</v>
      </c>
      <c r="C108" s="38">
        <f>'2018'!$H$81</f>
        <v>18.057780000000001</v>
      </c>
      <c r="D108" s="38">
        <f>'BAU2030'!$H$81</f>
        <v>16.864876500000001</v>
      </c>
      <c r="E108" s="38">
        <f>'BAU2050'!$H$81</f>
        <v>3.8081600999999998</v>
      </c>
      <c r="F108" s="178"/>
      <c r="G108" s="178"/>
      <c r="H108" s="178"/>
      <c r="I108" s="178"/>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row>
    <row r="109" spans="1:51" x14ac:dyDescent="0.2">
      <c r="A109" s="425"/>
      <c r="B109" s="269" t="s">
        <v>138</v>
      </c>
      <c r="C109" s="38">
        <f>'2018'!$W$81</f>
        <v>0</v>
      </c>
      <c r="D109" s="38">
        <f>'BAU2030'!$W$81</f>
        <v>0</v>
      </c>
      <c r="E109" s="38">
        <f>'BAU2050'!$W$81</f>
        <v>0</v>
      </c>
      <c r="F109" s="178"/>
      <c r="G109" s="178"/>
      <c r="H109" s="178"/>
      <c r="I109" s="178"/>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row>
    <row r="110" spans="1:51" ht="12.75" customHeight="1" x14ac:dyDescent="0.2">
      <c r="A110" s="423" t="s">
        <v>139</v>
      </c>
      <c r="B110" s="269" t="s">
        <v>140</v>
      </c>
      <c r="C110" s="38">
        <f>'2018'!$U$81+SUM('2018'!$T$16:$T$25)</f>
        <v>0</v>
      </c>
      <c r="D110" s="38">
        <f>'BAU2030'!$U$81+SUM('BAU2030'!$T$16:$T$25)</f>
        <v>0</v>
      </c>
      <c r="E110" s="38">
        <f>'BAU2050'!$U$81+SUM('BAU2050'!$T$16:$T$25)</f>
        <v>0</v>
      </c>
      <c r="F110" s="178"/>
      <c r="G110" s="178"/>
      <c r="H110" s="178"/>
      <c r="I110" s="178"/>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row>
    <row r="111" spans="1:51" x14ac:dyDescent="0.2">
      <c r="A111" s="424"/>
      <c r="B111" s="269" t="s">
        <v>141</v>
      </c>
      <c r="C111" s="38">
        <f>'2018'!$P$81+'2018'!$Q$81+'2018'!$R$81+'2018'!$S$81</f>
        <v>71.532429999999991</v>
      </c>
      <c r="D111" s="38">
        <f>'BAU2030'!$P$81+'BAU2030'!$Q$81+'BAU2030'!$R$81+'BAU2030'!$S$81</f>
        <v>73.548667590999997</v>
      </c>
      <c r="E111" s="38">
        <f>'BAU2050'!$P$81+'BAU2050'!$Q$81+'BAU2050'!$R$81+'BAU2050'!$S$81</f>
        <v>70.268807810999988</v>
      </c>
      <c r="F111" s="178"/>
      <c r="G111" s="178"/>
      <c r="H111" s="178"/>
      <c r="I111" s="178"/>
      <c r="K111" s="226"/>
      <c r="L111" s="226"/>
      <c r="M111" s="226"/>
      <c r="N111" s="226"/>
      <c r="O111" s="226"/>
      <c r="P111" s="22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row>
    <row r="112" spans="1:51" x14ac:dyDescent="0.2">
      <c r="A112" s="424"/>
      <c r="B112" s="269" t="s">
        <v>142</v>
      </c>
      <c r="C112" s="38">
        <f>'2018'!$J$81</f>
        <v>0.5</v>
      </c>
      <c r="D112" s="38">
        <f>'BAU2030'!$J$81</f>
        <v>-6.9644848000000037E-2</v>
      </c>
      <c r="E112" s="38">
        <f>'BAU2050'!$J$81</f>
        <v>-6.9644848000000037E-2</v>
      </c>
      <c r="F112" s="178"/>
      <c r="G112" s="178"/>
      <c r="H112" s="178"/>
      <c r="I112" s="178"/>
      <c r="K112" s="139"/>
      <c r="L112" s="139"/>
      <c r="M112" s="139"/>
      <c r="N112" s="139"/>
      <c r="O112" s="139"/>
      <c r="P112" s="139"/>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row>
    <row r="113" spans="1:51" x14ac:dyDescent="0.2">
      <c r="A113" s="424"/>
      <c r="B113" s="269" t="s">
        <v>143</v>
      </c>
      <c r="C113" s="38">
        <f>'2018'!$O$81+'2018'!$V$81+SUM('2018'!$T$31:$T$70)</f>
        <v>0</v>
      </c>
      <c r="D113" s="38">
        <f>'BAU2030'!$O$81+'BAU2030'!$V$81+SUM('BAU2030'!$T$31:$T$70)</f>
        <v>0</v>
      </c>
      <c r="E113" s="38">
        <f>'BAU2050'!$O$81+'BAU2050'!$V$81+SUM('BAU2050'!$T$31:$T$70)</f>
        <v>0</v>
      </c>
      <c r="F113" s="178"/>
      <c r="G113" s="178"/>
      <c r="H113" s="178"/>
      <c r="I113" s="178"/>
      <c r="K113" s="139"/>
      <c r="L113" s="139"/>
      <c r="M113" s="139"/>
      <c r="N113" s="139"/>
      <c r="O113" s="139"/>
      <c r="P113" s="139"/>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row>
    <row r="114" spans="1:51" x14ac:dyDescent="0.2">
      <c r="A114" s="424"/>
      <c r="B114" s="269" t="s">
        <v>144</v>
      </c>
      <c r="C114" s="38">
        <f>'2018'!$L$81</f>
        <v>19.05</v>
      </c>
      <c r="D114" s="38">
        <f>'BAU2030'!$L$81</f>
        <v>19.0136</v>
      </c>
      <c r="E114" s="38">
        <f>'BAU2050'!$L$81</f>
        <v>18.959</v>
      </c>
      <c r="F114" s="178"/>
      <c r="G114" s="178"/>
      <c r="H114" s="178"/>
      <c r="I114" s="178"/>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row>
    <row r="115" spans="1:51" x14ac:dyDescent="0.2">
      <c r="A115" s="424"/>
      <c r="B115" s="269" t="s">
        <v>145</v>
      </c>
      <c r="C115" s="38">
        <f>'2018'!$K$81+'2018'!$M$81+'2018'!$N$81</f>
        <v>1.0999999999999999</v>
      </c>
      <c r="D115" s="38">
        <f>'BAU2030'!$K$81+'BAU2030'!$M$81+'BAU2030'!$N$81</f>
        <v>8.0557999999999996</v>
      </c>
      <c r="E115" s="38">
        <f>'BAU2050'!$K$81+'BAU2050'!$M$81+'BAU2050'!$N$81</f>
        <v>10.247</v>
      </c>
      <c r="F115" s="178"/>
      <c r="G115" s="178"/>
      <c r="H115" s="178"/>
      <c r="I115" s="178"/>
      <c r="K115" s="140"/>
      <c r="L115" s="140"/>
      <c r="M115" s="140"/>
      <c r="N115" s="140"/>
      <c r="O115" s="140"/>
      <c r="P115" s="140"/>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row>
    <row r="116" spans="1:51" x14ac:dyDescent="0.2">
      <c r="A116" s="425"/>
      <c r="B116" s="269" t="s">
        <v>146</v>
      </c>
      <c r="C116" s="38">
        <f>'2018'!$A$81*'2018'!$A$87%</f>
        <v>16.056524748720033</v>
      </c>
      <c r="D116" s="38">
        <f>'BAU2030'!$A$81*'BAU2030'!$A$87%</f>
        <v>44.480998126055781</v>
      </c>
      <c r="E116" s="38">
        <f>'BAU2050'!$A$81*'BAU2050'!$A$87%</f>
        <v>54.220481603592688</v>
      </c>
      <c r="F116" s="178"/>
      <c r="G116" s="178"/>
      <c r="H116" s="178"/>
      <c r="I116" s="178"/>
      <c r="S116" s="8"/>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row>
    <row r="117" spans="1:51" ht="13.5" thickBot="1" x14ac:dyDescent="0.25">
      <c r="B117" s="9" t="s">
        <v>147</v>
      </c>
      <c r="C117" s="10">
        <f>SUM(C102:C116)</f>
        <v>243.53610170163643</v>
      </c>
      <c r="D117" s="10">
        <f>SUM(D102:D116)</f>
        <v>238.89127681605578</v>
      </c>
      <c r="E117" s="10">
        <f>SUM(E102:E116)</f>
        <v>218.82486205559269</v>
      </c>
      <c r="F117" s="259"/>
      <c r="G117" s="259"/>
      <c r="H117" s="259"/>
      <c r="I117" s="259"/>
      <c r="S117" s="8"/>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row>
    <row r="118" spans="1:51" x14ac:dyDescent="0.2">
      <c r="B118" s="270" t="s">
        <v>148</v>
      </c>
      <c r="C118" s="40">
        <f>SUM(C102:C109)</f>
        <v>135.29714695291642</v>
      </c>
      <c r="D118" s="40">
        <f>SUM(D102:D109)</f>
        <v>93.861855947000009</v>
      </c>
      <c r="E118" s="40">
        <f>SUM(E102:E109)</f>
        <v>65.199217488999992</v>
      </c>
      <c r="F118" s="178"/>
      <c r="G118" s="178"/>
      <c r="H118" s="178"/>
      <c r="I118" s="4"/>
      <c r="J118" s="156"/>
      <c r="L118" s="156"/>
      <c r="S118" s="11"/>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row>
    <row r="119" spans="1:51" x14ac:dyDescent="0.2">
      <c r="B119" s="145" t="s">
        <v>149</v>
      </c>
      <c r="C119" s="38">
        <f>SUM(C110:C116)</f>
        <v>108.23895474872002</v>
      </c>
      <c r="D119" s="38">
        <f>SUM(D110:D116)</f>
        <v>145.0294208690558</v>
      </c>
      <c r="E119" s="38">
        <f>SUM(E110:E116)</f>
        <v>153.62564456659268</v>
      </c>
      <c r="F119" s="178"/>
      <c r="G119" s="178"/>
      <c r="H119" s="178"/>
      <c r="I119" s="4"/>
      <c r="S119" s="11"/>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row>
    <row r="120" spans="1:51" x14ac:dyDescent="0.2">
      <c r="B120" s="136" t="s">
        <v>239</v>
      </c>
      <c r="C120" s="139">
        <f>C111</f>
        <v>71.532429999999991</v>
      </c>
      <c r="D120" s="139">
        <f>D111</f>
        <v>73.548667590999997</v>
      </c>
      <c r="E120" s="139">
        <f>E111</f>
        <v>70.268807810999988</v>
      </c>
      <c r="F120" s="139"/>
      <c r="G120" s="139"/>
      <c r="H120" s="139"/>
      <c r="S120" s="11"/>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row>
    <row r="121" spans="1:51" x14ac:dyDescent="0.2">
      <c r="B121" s="136" t="s">
        <v>143</v>
      </c>
      <c r="C121" s="139">
        <f>C113</f>
        <v>0</v>
      </c>
      <c r="D121" s="139">
        <f>D113</f>
        <v>0</v>
      </c>
      <c r="E121" s="139">
        <f>E113</f>
        <v>0</v>
      </c>
      <c r="F121" s="139"/>
      <c r="G121" s="139"/>
      <c r="H121" s="139"/>
      <c r="S121" s="11"/>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row>
    <row r="122" spans="1:51" x14ac:dyDescent="0.2">
      <c r="B122" s="136" t="s">
        <v>237</v>
      </c>
      <c r="C122" s="139">
        <f>C109+C110</f>
        <v>0</v>
      </c>
      <c r="D122" s="139">
        <f>D109+D110</f>
        <v>0</v>
      </c>
      <c r="E122" s="139">
        <f>E109+E110</f>
        <v>0</v>
      </c>
      <c r="F122" s="139"/>
      <c r="G122" s="139"/>
      <c r="H122" s="139"/>
      <c r="S122" s="11"/>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row>
    <row r="123" spans="1:51" x14ac:dyDescent="0.2">
      <c r="B123" s="136" t="s">
        <v>238</v>
      </c>
      <c r="C123" s="139">
        <f>SUM(C103:C108)</f>
        <v>114.86157</v>
      </c>
      <c r="D123" s="139">
        <f>SUM(D103:D108)</f>
        <v>93.861855947000009</v>
      </c>
      <c r="E123" s="139">
        <f>SUM(E103:E108)</f>
        <v>65.199217488999992</v>
      </c>
      <c r="F123" s="139"/>
      <c r="G123" s="139"/>
      <c r="H123" s="139"/>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row>
    <row r="124" spans="1:51" x14ac:dyDescent="0.2">
      <c r="B124" s="136" t="s">
        <v>177</v>
      </c>
      <c r="C124" s="139">
        <f>C102+C116+C115+C112+C114</f>
        <v>57.142101701636449</v>
      </c>
      <c r="D124" s="139">
        <f>D102+D116+D115+D112+D114</f>
        <v>71.480753278055772</v>
      </c>
      <c r="E124" s="139">
        <f>E102+E116+E115+E112+E114</f>
        <v>83.356836755592695</v>
      </c>
      <c r="F124" s="139"/>
      <c r="G124" s="139"/>
      <c r="H124" s="139"/>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row>
    <row r="125" spans="1:51" x14ac:dyDescent="0.2">
      <c r="C125" s="271">
        <f>(C112+C114)/C124*100</f>
        <v>34.212952302802897</v>
      </c>
      <c r="D125" s="271">
        <f>(D112+D114)/D124*100</f>
        <v>26.502176156858852</v>
      </c>
      <c r="E125" s="271">
        <f>(E112+E114)/E124*100</f>
        <v>22.660834896344177</v>
      </c>
      <c r="F125" s="271"/>
      <c r="G125" s="271"/>
      <c r="H125" s="271"/>
      <c r="I125" s="272"/>
      <c r="J125" s="272"/>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row>
    <row r="126" spans="1:51" x14ac:dyDescent="0.2">
      <c r="B126" s="226" t="s">
        <v>128</v>
      </c>
      <c r="C126" s="272">
        <f>C112/C124*100</f>
        <v>0.87501156784662126</v>
      </c>
      <c r="D126" s="272">
        <f>D112/D124*100</f>
        <v>-9.7431608938263178E-2</v>
      </c>
      <c r="E126" s="272">
        <f>E112/E124*100</f>
        <v>-8.3550252997487126E-2</v>
      </c>
      <c r="F126" s="272"/>
      <c r="G126" s="272"/>
      <c r="H126" s="272"/>
      <c r="I126" s="272"/>
      <c r="J126" s="272"/>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row>
    <row r="127" spans="1:51" x14ac:dyDescent="0.2">
      <c r="C127" s="272">
        <f>C114/C124*100</f>
        <v>33.33794073495627</v>
      </c>
      <c r="D127" s="272">
        <f>D114/D124*100</f>
        <v>26.599607765797117</v>
      </c>
      <c r="E127" s="272">
        <f>E114/E124*100</f>
        <v>22.744385149341664</v>
      </c>
      <c r="F127" s="272"/>
      <c r="G127" s="272"/>
      <c r="H127" s="272"/>
      <c r="I127" s="272"/>
      <c r="J127" s="272"/>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row>
    <row r="128" spans="1:51" x14ac:dyDescent="0.2">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row>
    <row r="129" spans="10:51" x14ac:dyDescent="0.2">
      <c r="J129" s="4"/>
      <c r="K129" s="4"/>
      <c r="L129" s="4"/>
      <c r="M129" s="4"/>
      <c r="N129" s="4"/>
      <c r="O129" s="4"/>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row>
    <row r="130" spans="10:51" x14ac:dyDescent="0.2">
      <c r="J130" s="4"/>
      <c r="K130" s="4"/>
      <c r="L130" s="4"/>
      <c r="M130" s="4"/>
      <c r="N130" s="4"/>
      <c r="O130" s="4"/>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row>
    <row r="131" spans="10:51" x14ac:dyDescent="0.2">
      <c r="J131" s="4"/>
      <c r="K131" s="4"/>
      <c r="L131" s="4"/>
      <c r="M131" s="4"/>
      <c r="N131" s="4"/>
      <c r="O131" s="4"/>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row>
    <row r="132" spans="10:51" x14ac:dyDescent="0.2">
      <c r="J132" s="4"/>
      <c r="K132" s="4"/>
      <c r="L132" s="4"/>
      <c r="M132" s="4"/>
      <c r="N132" s="4"/>
      <c r="O132" s="4"/>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row>
    <row r="133" spans="10:51" x14ac:dyDescent="0.2">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row>
    <row r="134" spans="10:51" x14ac:dyDescent="0.2">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row>
    <row r="135" spans="10:51" x14ac:dyDescent="0.2">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row>
    <row r="136" spans="10:51" x14ac:dyDescent="0.2">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row>
    <row r="137" spans="10:51" x14ac:dyDescent="0.2">
      <c r="J137" s="4"/>
      <c r="K137" s="4"/>
      <c r="L137" s="4"/>
      <c r="M137" s="4"/>
      <c r="N137" s="4"/>
      <c r="O137" s="4"/>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row>
    <row r="138" spans="10:51" x14ac:dyDescent="0.2">
      <c r="J138" s="4"/>
      <c r="K138" s="4"/>
      <c r="L138" s="4"/>
      <c r="M138" s="4"/>
      <c r="N138" s="4"/>
      <c r="O138" s="4"/>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row>
    <row r="139" spans="10:51" x14ac:dyDescent="0.2">
      <c r="J139" s="4"/>
      <c r="K139" s="4"/>
      <c r="L139" s="4"/>
      <c r="M139" s="4"/>
      <c r="N139" s="4"/>
      <c r="O139" s="4"/>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row>
    <row r="140" spans="10:51" x14ac:dyDescent="0.2">
      <c r="J140" s="4"/>
      <c r="K140" s="4"/>
      <c r="L140" s="4"/>
      <c r="M140" s="4"/>
      <c r="N140" s="4"/>
      <c r="O140" s="4"/>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row>
    <row r="141" spans="10:51" x14ac:dyDescent="0.2">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row>
    <row r="142" spans="10:51" x14ac:dyDescent="0.2">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row>
    <row r="143" spans="10:51" x14ac:dyDescent="0.2">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row>
    <row r="144" spans="10:51" x14ac:dyDescent="0.2">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row>
    <row r="145" spans="2:51" x14ac:dyDescent="0.2">
      <c r="J145" s="4"/>
      <c r="K145" s="4"/>
      <c r="L145" s="4"/>
      <c r="M145" s="4"/>
      <c r="N145" s="4"/>
      <c r="O145" s="4"/>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row>
    <row r="146" spans="2:51" x14ac:dyDescent="0.2">
      <c r="J146" s="4"/>
      <c r="K146" s="4"/>
      <c r="L146" s="4"/>
      <c r="M146" s="4"/>
      <c r="N146" s="4"/>
      <c r="O146" s="4"/>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row>
    <row r="147" spans="2:51" x14ac:dyDescent="0.2">
      <c r="J147" s="4"/>
      <c r="K147" s="4"/>
      <c r="L147" s="4"/>
      <c r="M147" s="4"/>
      <c r="N147" s="4"/>
      <c r="O147" s="4"/>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row>
    <row r="148" spans="2:51" x14ac:dyDescent="0.2">
      <c r="J148" s="4"/>
      <c r="K148" s="4"/>
      <c r="L148" s="4"/>
      <c r="M148" s="4"/>
      <c r="N148" s="4"/>
      <c r="O148" s="4"/>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row>
    <row r="149" spans="2:51" x14ac:dyDescent="0.2">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row>
    <row r="150" spans="2:51" x14ac:dyDescent="0.2">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row>
    <row r="151" spans="2:51" x14ac:dyDescent="0.2">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row>
    <row r="152" spans="2:51" x14ac:dyDescent="0.2">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row>
    <row r="153" spans="2:51" x14ac:dyDescent="0.2">
      <c r="J153" s="4"/>
      <c r="K153" s="4"/>
      <c r="L153" s="4"/>
      <c r="M153" s="4"/>
      <c r="N153" s="4"/>
      <c r="O153" s="4"/>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row>
    <row r="154" spans="2:51" x14ac:dyDescent="0.2">
      <c r="J154" s="4"/>
      <c r="K154" s="4"/>
      <c r="L154" s="4"/>
      <c r="M154" s="4"/>
      <c r="N154" s="4"/>
      <c r="O154" s="4"/>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row>
    <row r="155" spans="2:51" x14ac:dyDescent="0.2">
      <c r="B155" s="226" t="s">
        <v>231</v>
      </c>
      <c r="C155" s="14"/>
      <c r="D155" s="14"/>
      <c r="E155" s="14"/>
      <c r="F155" s="14"/>
      <c r="J155" s="4"/>
      <c r="K155" s="4"/>
      <c r="L155" s="4"/>
      <c r="M155" s="4"/>
      <c r="N155" s="4"/>
      <c r="O155" s="4"/>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row>
    <row r="156" spans="2:51" x14ac:dyDescent="0.2">
      <c r="B156" s="226"/>
      <c r="C156" s="14"/>
      <c r="D156" s="14"/>
      <c r="E156" s="14"/>
      <c r="F156" s="14"/>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row>
    <row r="157" spans="2:51" x14ac:dyDescent="0.2">
      <c r="B157" s="226"/>
      <c r="C157" s="14"/>
      <c r="D157" s="14"/>
      <c r="E157" s="14"/>
      <c r="F157" s="14"/>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row>
    <row r="158" spans="2:51" x14ac:dyDescent="0.2">
      <c r="B158" s="226"/>
      <c r="C158" s="12"/>
      <c r="D158" s="12"/>
      <c r="E158" s="13"/>
      <c r="F158" s="13"/>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row>
    <row r="159" spans="2:51" x14ac:dyDescent="0.2">
      <c r="B159" s="226"/>
      <c r="C159" s="12"/>
      <c r="D159" s="12"/>
      <c r="E159" s="13"/>
      <c r="F159" s="13"/>
      <c r="N159" s="4"/>
      <c r="O159" s="4"/>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row>
    <row r="160" spans="2:51" x14ac:dyDescent="0.2">
      <c r="B160" s="226"/>
      <c r="C160" s="14"/>
      <c r="D160" s="14"/>
      <c r="E160" s="14"/>
      <c r="F160" s="14"/>
      <c r="N160" s="4"/>
      <c r="O160" s="4"/>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row>
    <row r="161" spans="2:51" x14ac:dyDescent="0.2">
      <c r="B161" s="226"/>
      <c r="C161" s="14"/>
      <c r="D161" s="14"/>
      <c r="E161" s="14"/>
      <c r="F161" s="14"/>
      <c r="N161" s="4"/>
      <c r="O161" s="4"/>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row>
    <row r="162" spans="2:51" x14ac:dyDescent="0.2">
      <c r="B162" s="226"/>
      <c r="C162" s="146"/>
      <c r="D162" s="146"/>
      <c r="N162" s="4"/>
      <c r="O162" s="4"/>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row>
    <row r="163" spans="2:51" x14ac:dyDescent="0.2">
      <c r="B163" s="226"/>
      <c r="C163" s="146"/>
      <c r="D163" s="14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row>
    <row r="164" spans="2:51" x14ac:dyDescent="0.2">
      <c r="B164" s="226"/>
      <c r="C164" s="146"/>
      <c r="D164" s="14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row>
    <row r="165" spans="2:51" x14ac:dyDescent="0.2">
      <c r="B165" s="226"/>
      <c r="C165" s="146"/>
      <c r="D165" s="14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row>
    <row r="166" spans="2:51" x14ac:dyDescent="0.2">
      <c r="B166" s="226"/>
      <c r="C166" s="146"/>
      <c r="D166" s="14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row>
    <row r="167" spans="2:51" x14ac:dyDescent="0.2">
      <c r="B167" s="226"/>
      <c r="C167" s="146"/>
      <c r="D167" s="146"/>
      <c r="N167" s="4"/>
      <c r="O167" s="4"/>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row>
    <row r="168" spans="2:51" x14ac:dyDescent="0.2">
      <c r="B168" s="226"/>
      <c r="C168" s="146"/>
      <c r="D168" s="146"/>
      <c r="N168" s="4"/>
      <c r="O168" s="4"/>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row>
    <row r="169" spans="2:51" x14ac:dyDescent="0.2">
      <c r="B169" s="226"/>
      <c r="C169" s="146"/>
      <c r="D169" s="146"/>
      <c r="N169" s="4"/>
      <c r="O169" s="4"/>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row>
    <row r="170" spans="2:51" x14ac:dyDescent="0.2">
      <c r="B170" s="226"/>
      <c r="C170" s="146"/>
      <c r="D170" s="146"/>
      <c r="N170" s="4"/>
      <c r="O170" s="4"/>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row>
    <row r="171" spans="2:51" x14ac:dyDescent="0.2">
      <c r="B171" s="226"/>
      <c r="C171" s="146"/>
      <c r="D171" s="14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row>
    <row r="172" spans="2:51" x14ac:dyDescent="0.2">
      <c r="B172" s="226"/>
      <c r="C172" s="146"/>
      <c r="D172" s="14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row>
    <row r="173" spans="2:51" x14ac:dyDescent="0.2">
      <c r="B173" s="226"/>
      <c r="C173" s="146"/>
      <c r="D173" s="14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row>
    <row r="174" spans="2:51" x14ac:dyDescent="0.2">
      <c r="B174" s="226"/>
      <c r="C174" s="146"/>
      <c r="D174" s="14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row>
    <row r="175" spans="2:51" x14ac:dyDescent="0.2">
      <c r="B175" s="226"/>
      <c r="C175" s="146"/>
      <c r="D175" s="146"/>
      <c r="N175" s="4"/>
      <c r="O175" s="4"/>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row>
    <row r="176" spans="2:51" x14ac:dyDescent="0.2">
      <c r="B176" s="226"/>
      <c r="C176" s="146"/>
      <c r="D176" s="146"/>
      <c r="N176" s="4"/>
      <c r="O176" s="4"/>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row>
    <row r="177" spans="2:51" x14ac:dyDescent="0.2">
      <c r="B177" s="226"/>
      <c r="C177" s="146"/>
      <c r="D177" s="146"/>
      <c r="N177" s="4"/>
      <c r="O177" s="4"/>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row>
    <row r="178" spans="2:51" x14ac:dyDescent="0.2">
      <c r="B178" s="226"/>
      <c r="C178" s="146"/>
      <c r="D178" s="146"/>
      <c r="N178" s="4"/>
      <c r="O178" s="4"/>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row>
    <row r="179" spans="2:51" x14ac:dyDescent="0.2">
      <c r="B179" s="226"/>
      <c r="C179" s="146"/>
      <c r="D179" s="14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row>
    <row r="180" spans="2:51" x14ac:dyDescent="0.2">
      <c r="C180" s="146"/>
      <c r="D180" s="14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row>
    <row r="181" spans="2:51" x14ac:dyDescent="0.2">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row>
    <row r="182" spans="2:51" x14ac:dyDescent="0.2">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row>
    <row r="183" spans="2:51" x14ac:dyDescent="0.2">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row>
    <row r="184" spans="2:51" x14ac:dyDescent="0.2">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row>
    <row r="185" spans="2:51" x14ac:dyDescent="0.2">
      <c r="B185" s="226" t="s">
        <v>232</v>
      </c>
      <c r="C185" s="12"/>
      <c r="D185" s="12"/>
      <c r="E185" s="13"/>
      <c r="F185" s="13"/>
      <c r="N185" s="4"/>
      <c r="O185" s="4"/>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row>
    <row r="186" spans="2:51" x14ac:dyDescent="0.2">
      <c r="B186" s="226"/>
      <c r="C186" s="12"/>
      <c r="D186" s="12"/>
      <c r="E186" s="13"/>
      <c r="F186" s="13"/>
      <c r="N186" s="4"/>
      <c r="O186" s="4"/>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row>
    <row r="187" spans="2:51" x14ac:dyDescent="0.2">
      <c r="B187" s="226"/>
      <c r="C187" s="12"/>
      <c r="D187" s="12"/>
      <c r="E187" s="13"/>
      <c r="F187" s="13"/>
      <c r="N187" s="4"/>
      <c r="O187" s="4"/>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row>
    <row r="188" spans="2:51" x14ac:dyDescent="0.2">
      <c r="B188" s="226"/>
      <c r="C188" s="14"/>
      <c r="D188" s="14"/>
      <c r="E188" s="14"/>
      <c r="F188" s="14"/>
      <c r="N188" s="4"/>
      <c r="O188" s="4"/>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row>
    <row r="189" spans="2:51" x14ac:dyDescent="0.2">
      <c r="B189" s="226"/>
      <c r="C189" s="14"/>
      <c r="D189" s="14"/>
      <c r="E189" s="14"/>
      <c r="F189" s="14"/>
      <c r="N189" s="4"/>
      <c r="O189" s="4"/>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row>
    <row r="190" spans="2:51" x14ac:dyDescent="0.2">
      <c r="B190" s="226"/>
      <c r="C190" s="14"/>
      <c r="D190" s="14"/>
      <c r="E190" s="14"/>
      <c r="F190" s="14"/>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row>
    <row r="191" spans="2:51" x14ac:dyDescent="0.2">
      <c r="B191" s="226"/>
      <c r="C191" s="14"/>
      <c r="D191" s="14"/>
      <c r="E191" s="14"/>
      <c r="F191" s="14"/>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row>
    <row r="192" spans="2:51" x14ac:dyDescent="0.2">
      <c r="B192" s="226"/>
      <c r="C192" s="12"/>
      <c r="D192" s="12"/>
      <c r="E192" s="13"/>
      <c r="F192" s="13"/>
      <c r="N192" s="4"/>
      <c r="O192" s="4"/>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row>
    <row r="193" spans="2:51" x14ac:dyDescent="0.2">
      <c r="B193" s="226"/>
      <c r="C193" s="12"/>
      <c r="D193" s="12"/>
      <c r="E193" s="13"/>
      <c r="F193" s="13"/>
      <c r="N193" s="4"/>
      <c r="O193" s="4"/>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row>
    <row r="194" spans="2:51" x14ac:dyDescent="0.2">
      <c r="B194" s="226"/>
      <c r="C194" s="12"/>
      <c r="D194" s="12"/>
      <c r="E194" s="13"/>
      <c r="F194" s="13"/>
      <c r="N194" s="4"/>
      <c r="O194" s="4"/>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row>
    <row r="195" spans="2:51" x14ac:dyDescent="0.2">
      <c r="B195" s="226"/>
      <c r="C195" s="12"/>
      <c r="D195" s="12"/>
      <c r="E195" s="13"/>
      <c r="F195" s="13"/>
      <c r="N195" s="4"/>
      <c r="O195" s="4"/>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row>
    <row r="196" spans="2:51" x14ac:dyDescent="0.2">
      <c r="B196" s="226"/>
      <c r="C196" s="14"/>
      <c r="D196" s="14"/>
      <c r="E196" s="14"/>
      <c r="F196" s="14"/>
      <c r="N196" s="4"/>
      <c r="O196" s="4"/>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row>
    <row r="197" spans="2:51" x14ac:dyDescent="0.2">
      <c r="B197" s="226"/>
      <c r="C197" s="14"/>
      <c r="D197" s="14"/>
      <c r="E197" s="14"/>
      <c r="F197" s="14"/>
      <c r="N197" s="4"/>
      <c r="O197" s="4"/>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row>
    <row r="198" spans="2:51" x14ac:dyDescent="0.2">
      <c r="B198" s="226"/>
      <c r="C198" s="14"/>
      <c r="D198" s="14"/>
      <c r="E198" s="14"/>
      <c r="F198" s="14"/>
      <c r="N198" s="4"/>
      <c r="O198" s="4"/>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row>
    <row r="199" spans="2:51" x14ac:dyDescent="0.2">
      <c r="B199" s="226"/>
      <c r="C199" s="14"/>
      <c r="D199" s="14"/>
      <c r="E199" s="14"/>
      <c r="F199" s="14"/>
      <c r="N199" s="4"/>
      <c r="O199" s="4"/>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row>
    <row r="200" spans="2:51" x14ac:dyDescent="0.2">
      <c r="B200" s="226"/>
      <c r="C200" s="12"/>
      <c r="D200" s="12"/>
      <c r="E200" s="13"/>
      <c r="F200" s="13"/>
      <c r="N200" s="4"/>
      <c r="O200" s="4"/>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row>
    <row r="201" spans="2:51" x14ac:dyDescent="0.2">
      <c r="B201" s="226"/>
      <c r="C201" s="12"/>
      <c r="D201" s="12"/>
      <c r="E201" s="13"/>
      <c r="F201" s="13"/>
      <c r="N201" s="4"/>
      <c r="O201" s="4"/>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row>
    <row r="202" spans="2:51" x14ac:dyDescent="0.2">
      <c r="B202" s="226"/>
      <c r="C202" s="12"/>
      <c r="D202" s="12"/>
      <c r="E202" s="13"/>
      <c r="F202" s="13"/>
      <c r="N202" s="4"/>
      <c r="O202" s="4"/>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row>
    <row r="203" spans="2:51" x14ac:dyDescent="0.2">
      <c r="B203" s="226"/>
      <c r="C203" s="12"/>
      <c r="D203" s="12"/>
      <c r="E203" s="13"/>
      <c r="F203" s="13"/>
      <c r="N203" s="4"/>
      <c r="O203" s="4"/>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row>
    <row r="204" spans="2:51" x14ac:dyDescent="0.2">
      <c r="B204" s="226"/>
      <c r="C204" s="14"/>
      <c r="D204" s="14"/>
      <c r="E204" s="14"/>
      <c r="F204" s="14"/>
      <c r="N204" s="4"/>
      <c r="O204" s="4"/>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row>
    <row r="205" spans="2:51" x14ac:dyDescent="0.2">
      <c r="B205" s="226"/>
      <c r="C205" s="14"/>
      <c r="D205" s="14"/>
      <c r="E205" s="14"/>
      <c r="F205" s="14"/>
      <c r="N205" s="4"/>
      <c r="O205" s="4"/>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row>
    <row r="206" spans="2:51" x14ac:dyDescent="0.2">
      <c r="B206" s="226"/>
      <c r="C206" s="14"/>
      <c r="D206" s="14"/>
      <c r="E206" s="14"/>
      <c r="F206" s="14"/>
      <c r="N206" s="4"/>
      <c r="O206" s="4"/>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row>
    <row r="207" spans="2:51" x14ac:dyDescent="0.2">
      <c r="B207" s="226"/>
      <c r="C207" s="14"/>
      <c r="D207" s="14"/>
      <c r="E207" s="14"/>
      <c r="F207" s="14"/>
      <c r="N207" s="4"/>
      <c r="O207" s="4"/>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row>
    <row r="208" spans="2:51" x14ac:dyDescent="0.2">
      <c r="B208" s="226"/>
      <c r="C208" s="12"/>
      <c r="D208" s="12"/>
      <c r="E208" s="13"/>
      <c r="F208" s="13"/>
      <c r="N208" s="4"/>
      <c r="O208" s="4"/>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row>
    <row r="209" spans="2:51" x14ac:dyDescent="0.2">
      <c r="B209" s="226"/>
      <c r="C209" s="12"/>
      <c r="D209" s="12"/>
      <c r="E209" s="13"/>
      <c r="F209" s="13"/>
      <c r="N209" s="4"/>
      <c r="O209" s="4"/>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row>
    <row r="210" spans="2:51" x14ac:dyDescent="0.2">
      <c r="B210" s="226"/>
      <c r="C210" s="12"/>
      <c r="D210" s="12"/>
      <c r="E210" s="13"/>
      <c r="F210" s="13"/>
      <c r="N210" s="4"/>
      <c r="O210" s="4"/>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row>
    <row r="211" spans="2:51" x14ac:dyDescent="0.2">
      <c r="B211" s="226"/>
      <c r="C211" s="12"/>
      <c r="D211" s="12"/>
      <c r="E211" s="13"/>
      <c r="F211" s="13"/>
      <c r="N211" s="4"/>
      <c r="O211" s="4"/>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row>
    <row r="212" spans="2:51" x14ac:dyDescent="0.2">
      <c r="B212" s="226"/>
      <c r="C212" s="14"/>
      <c r="D212" s="14"/>
      <c r="E212" s="14"/>
      <c r="F212" s="14"/>
      <c r="N212" s="4"/>
      <c r="O212" s="4"/>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row>
    <row r="213" spans="2:51" x14ac:dyDescent="0.2">
      <c r="B213" s="226"/>
      <c r="C213" s="14"/>
      <c r="D213" s="14"/>
      <c r="E213" s="14"/>
      <c r="F213" s="14"/>
      <c r="N213" s="4"/>
      <c r="O213" s="4"/>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row>
    <row r="214" spans="2:51" x14ac:dyDescent="0.2">
      <c r="B214" s="226" t="s">
        <v>150</v>
      </c>
      <c r="C214" s="12"/>
      <c r="D214" s="12"/>
      <c r="E214" s="13"/>
      <c r="F214" s="13"/>
      <c r="N214" s="4"/>
      <c r="O214" s="4"/>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row>
    <row r="215" spans="2:51" x14ac:dyDescent="0.2">
      <c r="B215" s="226"/>
      <c r="C215" s="12"/>
      <c r="D215" s="12"/>
      <c r="E215" s="13"/>
      <c r="F215" s="13"/>
      <c r="J215" s="4"/>
      <c r="K215" s="4"/>
      <c r="L215" s="4"/>
      <c r="M215" s="4"/>
      <c r="N215" s="4"/>
      <c r="O215" s="4"/>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row>
    <row r="216" spans="2:51" x14ac:dyDescent="0.2">
      <c r="B216" s="226"/>
      <c r="C216" s="12"/>
      <c r="D216" s="12"/>
      <c r="E216" s="13"/>
      <c r="F216" s="13"/>
      <c r="J216" s="4"/>
      <c r="K216" s="4"/>
      <c r="L216" s="4"/>
      <c r="M216" s="4"/>
      <c r="N216" s="4"/>
      <c r="O216" s="4"/>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row>
    <row r="217" spans="2:51" x14ac:dyDescent="0.2">
      <c r="B217" s="226"/>
      <c r="C217" s="14"/>
      <c r="D217" s="14"/>
      <c r="E217" s="14"/>
      <c r="F217" s="14"/>
      <c r="J217" s="4"/>
      <c r="K217" s="4"/>
      <c r="L217" s="4"/>
      <c r="M217" s="4"/>
      <c r="N217" s="4"/>
      <c r="O217" s="4"/>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row>
    <row r="218" spans="2:51" x14ac:dyDescent="0.2">
      <c r="B218" s="226"/>
      <c r="C218" s="14"/>
      <c r="D218" s="14"/>
      <c r="E218" s="14"/>
      <c r="F218" s="14"/>
      <c r="J218" s="4"/>
      <c r="K218" s="4"/>
      <c r="L218" s="4"/>
      <c r="M218" s="4"/>
      <c r="N218" s="4"/>
      <c r="O218" s="4"/>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row>
    <row r="219" spans="2:51" x14ac:dyDescent="0.2">
      <c r="B219" s="226"/>
      <c r="C219" s="14"/>
      <c r="D219" s="14"/>
      <c r="E219" s="14"/>
      <c r="F219" s="14"/>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row>
    <row r="220" spans="2:51" x14ac:dyDescent="0.2">
      <c r="B220" s="226"/>
      <c r="C220" s="14"/>
      <c r="D220" s="14"/>
      <c r="E220" s="14"/>
      <c r="F220" s="14"/>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row>
    <row r="221" spans="2:51" x14ac:dyDescent="0.2">
      <c r="B221" s="226"/>
      <c r="C221" s="12"/>
      <c r="D221" s="12"/>
      <c r="E221" s="13"/>
      <c r="F221" s="13"/>
      <c r="J221" s="4"/>
      <c r="K221" s="4"/>
      <c r="L221" s="4"/>
      <c r="M221" s="4"/>
      <c r="N221" s="4"/>
      <c r="O221" s="4"/>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row>
    <row r="222" spans="2:51" x14ac:dyDescent="0.2">
      <c r="B222" s="226"/>
      <c r="C222" s="12"/>
      <c r="D222" s="12"/>
      <c r="E222" s="13"/>
      <c r="F222" s="13"/>
      <c r="J222" s="4"/>
      <c r="K222" s="4"/>
      <c r="L222" s="4"/>
      <c r="M222" s="4"/>
      <c r="N222" s="4"/>
      <c r="O222" s="4"/>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row>
    <row r="223" spans="2:51" x14ac:dyDescent="0.2">
      <c r="B223" s="226"/>
      <c r="C223" s="12"/>
      <c r="D223" s="12"/>
      <c r="E223" s="13"/>
      <c r="F223" s="13"/>
      <c r="J223" s="4"/>
      <c r="K223" s="4"/>
      <c r="L223" s="4"/>
      <c r="M223" s="4"/>
      <c r="N223" s="4"/>
      <c r="O223" s="4"/>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row>
    <row r="224" spans="2:51" x14ac:dyDescent="0.2">
      <c r="B224" s="226"/>
      <c r="C224" s="12"/>
      <c r="D224" s="12"/>
      <c r="E224" s="13"/>
      <c r="F224" s="13"/>
      <c r="J224" s="4"/>
      <c r="K224" s="4"/>
      <c r="L224" s="4"/>
      <c r="M224" s="4"/>
      <c r="N224" s="4"/>
      <c r="O224" s="4"/>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row>
    <row r="225" spans="2:51" x14ac:dyDescent="0.2">
      <c r="B225" s="226"/>
      <c r="C225" s="14"/>
      <c r="D225" s="14"/>
      <c r="E225" s="14"/>
      <c r="F225" s="14"/>
      <c r="J225" s="4"/>
      <c r="K225" s="4"/>
      <c r="L225" s="4"/>
      <c r="M225" s="4"/>
      <c r="N225" s="4"/>
      <c r="O225" s="4"/>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row>
    <row r="226" spans="2:51" x14ac:dyDescent="0.2">
      <c r="B226" s="226"/>
      <c r="C226" s="14"/>
      <c r="D226" s="14"/>
      <c r="E226" s="14"/>
      <c r="F226" s="14"/>
      <c r="J226" s="4"/>
      <c r="K226" s="4"/>
      <c r="L226" s="4"/>
      <c r="M226" s="4"/>
      <c r="N226" s="4"/>
      <c r="O226" s="4"/>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row>
    <row r="227" spans="2:51" x14ac:dyDescent="0.2">
      <c r="B227" s="226"/>
      <c r="C227" s="14"/>
      <c r="D227" s="14"/>
      <c r="E227" s="14"/>
      <c r="F227" s="14"/>
      <c r="J227" s="4"/>
      <c r="K227" s="4"/>
      <c r="L227" s="4"/>
      <c r="M227" s="4"/>
      <c r="N227" s="4"/>
      <c r="O227" s="4"/>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row>
    <row r="228" spans="2:51" x14ac:dyDescent="0.2">
      <c r="B228" s="226"/>
      <c r="C228" s="14"/>
      <c r="D228" s="14"/>
      <c r="E228" s="14"/>
      <c r="F228" s="14"/>
      <c r="J228" s="4"/>
      <c r="K228" s="4"/>
      <c r="L228" s="4"/>
      <c r="M228" s="4"/>
      <c r="N228" s="4"/>
      <c r="O228" s="4"/>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row>
    <row r="229" spans="2:51" x14ac:dyDescent="0.2">
      <c r="B229" s="226"/>
      <c r="C229" s="12"/>
      <c r="D229" s="12"/>
      <c r="E229" s="13"/>
      <c r="F229" s="13"/>
      <c r="J229" s="4"/>
      <c r="K229" s="4"/>
      <c r="L229" s="4"/>
      <c r="M229" s="4"/>
      <c r="N229" s="4"/>
      <c r="O229" s="4"/>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row>
    <row r="230" spans="2:51" x14ac:dyDescent="0.2">
      <c r="B230" s="226"/>
      <c r="C230" s="12"/>
      <c r="D230" s="12"/>
      <c r="E230" s="13"/>
      <c r="F230" s="13"/>
      <c r="J230" s="4"/>
      <c r="K230" s="4"/>
      <c r="L230" s="4"/>
      <c r="M230" s="4"/>
      <c r="N230" s="4"/>
      <c r="O230" s="4"/>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row>
    <row r="231" spans="2:51" x14ac:dyDescent="0.2">
      <c r="B231" s="226"/>
      <c r="C231" s="12"/>
      <c r="D231" s="12"/>
      <c r="E231" s="13"/>
      <c r="F231" s="13"/>
      <c r="J231" s="4"/>
      <c r="K231" s="4"/>
      <c r="L231" s="4"/>
      <c r="M231" s="4"/>
      <c r="N231" s="4"/>
      <c r="O231" s="4"/>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row>
    <row r="232" spans="2:51" x14ac:dyDescent="0.2">
      <c r="B232" s="226"/>
      <c r="C232" s="12"/>
      <c r="D232" s="12"/>
      <c r="E232" s="13"/>
      <c r="F232" s="13"/>
      <c r="J232" s="4"/>
      <c r="K232" s="4"/>
      <c r="L232" s="4"/>
      <c r="M232" s="4"/>
      <c r="N232" s="4"/>
      <c r="O232" s="4"/>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row>
    <row r="233" spans="2:51" x14ac:dyDescent="0.2">
      <c r="B233" s="226"/>
      <c r="C233" s="14"/>
      <c r="D233" s="14"/>
      <c r="E233" s="14"/>
      <c r="F233" s="14"/>
      <c r="J233" s="4"/>
      <c r="K233" s="4"/>
      <c r="L233" s="4"/>
      <c r="M233" s="4"/>
      <c r="N233" s="4"/>
      <c r="O233" s="4"/>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row>
    <row r="234" spans="2:51" x14ac:dyDescent="0.2">
      <c r="B234" s="226"/>
      <c r="C234" s="14"/>
      <c r="D234" s="14"/>
      <c r="E234" s="14"/>
      <c r="F234" s="14"/>
      <c r="J234" s="4"/>
      <c r="K234" s="4"/>
      <c r="L234" s="4"/>
      <c r="M234" s="4"/>
      <c r="N234" s="4"/>
      <c r="O234" s="4"/>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row>
    <row r="235" spans="2:51" x14ac:dyDescent="0.2">
      <c r="B235" s="226"/>
      <c r="C235" s="14"/>
      <c r="D235" s="14"/>
      <c r="E235" s="14"/>
      <c r="F235" s="14"/>
      <c r="J235" s="4"/>
      <c r="K235" s="4"/>
      <c r="L235" s="4"/>
      <c r="M235" s="4"/>
      <c r="N235" s="4"/>
      <c r="O235" s="4"/>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row>
    <row r="236" spans="2:51" x14ac:dyDescent="0.2">
      <c r="B236" s="226"/>
      <c r="C236" s="14"/>
      <c r="D236" s="14"/>
      <c r="E236" s="14"/>
      <c r="F236" s="14"/>
      <c r="J236" s="4"/>
      <c r="K236" s="4"/>
      <c r="L236" s="4"/>
      <c r="M236" s="4"/>
      <c r="N236" s="4"/>
      <c r="O236" s="4"/>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row>
    <row r="237" spans="2:51" x14ac:dyDescent="0.2">
      <c r="B237" s="226"/>
      <c r="C237" s="12"/>
      <c r="D237" s="12"/>
      <c r="E237" s="13"/>
      <c r="F237" s="13"/>
      <c r="J237" s="4"/>
      <c r="K237" s="4"/>
      <c r="L237" s="4"/>
      <c r="M237" s="4"/>
      <c r="N237" s="4"/>
      <c r="O237" s="4"/>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row>
    <row r="238" spans="2:51" x14ac:dyDescent="0.2">
      <c r="B238" s="226"/>
      <c r="C238" s="12"/>
      <c r="D238" s="12"/>
      <c r="E238" s="13"/>
      <c r="F238" s="13"/>
      <c r="J238" s="4"/>
      <c r="K238" s="4"/>
      <c r="L238" s="4"/>
      <c r="M238" s="4"/>
      <c r="N238" s="4"/>
      <c r="O238" s="4"/>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row>
    <row r="239" spans="2:51" x14ac:dyDescent="0.2">
      <c r="B239" s="226"/>
      <c r="C239" s="12"/>
      <c r="D239" s="12"/>
      <c r="E239" s="13"/>
      <c r="F239" s="13"/>
      <c r="J239" s="4"/>
      <c r="K239" s="4"/>
      <c r="L239" s="4"/>
      <c r="M239" s="4"/>
      <c r="N239" s="4"/>
      <c r="O239" s="4"/>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row>
    <row r="240" spans="2:51" x14ac:dyDescent="0.2">
      <c r="B240" s="226"/>
      <c r="C240" s="12"/>
      <c r="D240" s="12"/>
      <c r="E240" s="13"/>
      <c r="F240" s="13"/>
      <c r="J240" s="4"/>
      <c r="K240" s="4"/>
      <c r="L240" s="4"/>
      <c r="M240" s="4"/>
      <c r="N240" s="4"/>
      <c r="O240" s="4"/>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row>
    <row r="241" spans="2:51" x14ac:dyDescent="0.2">
      <c r="B241" s="226"/>
      <c r="C241" s="12"/>
      <c r="D241" s="12"/>
      <c r="E241" s="13"/>
      <c r="F241" s="13"/>
      <c r="J241" s="4"/>
      <c r="K241" s="4"/>
      <c r="L241" s="4"/>
      <c r="M241" s="4"/>
      <c r="N241" s="4"/>
      <c r="O241" s="4"/>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row>
    <row r="242" spans="2:51" x14ac:dyDescent="0.2">
      <c r="B242" s="226"/>
      <c r="C242" s="14"/>
      <c r="D242" s="14"/>
      <c r="E242" s="14"/>
      <c r="F242" s="14"/>
      <c r="J242" s="4"/>
      <c r="K242" s="4"/>
      <c r="L242" s="4"/>
      <c r="M242" s="4"/>
      <c r="N242" s="4"/>
      <c r="O242" s="4"/>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row>
    <row r="243" spans="2:51" x14ac:dyDescent="0.2">
      <c r="B243" s="226" t="s">
        <v>151</v>
      </c>
      <c r="C243" s="12"/>
      <c r="D243" s="12"/>
      <c r="E243" s="13"/>
      <c r="F243" s="13"/>
      <c r="N243" s="4"/>
      <c r="O243" s="4"/>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row>
    <row r="244" spans="2:51" x14ac:dyDescent="0.2">
      <c r="B244" s="226"/>
      <c r="C244" s="12"/>
      <c r="D244" s="12"/>
      <c r="E244" s="13"/>
      <c r="F244" s="13"/>
      <c r="J244" s="4"/>
      <c r="K244" s="4"/>
      <c r="L244" s="4"/>
      <c r="M244" s="4"/>
      <c r="N244" s="4"/>
      <c r="O244" s="4"/>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row>
    <row r="245" spans="2:51" x14ac:dyDescent="0.2">
      <c r="B245" s="226"/>
      <c r="C245" s="12"/>
      <c r="D245" s="12"/>
      <c r="E245" s="13"/>
      <c r="F245" s="13"/>
      <c r="J245" s="4"/>
      <c r="K245" s="4"/>
      <c r="L245" s="4"/>
      <c r="M245" s="4"/>
      <c r="N245" s="4"/>
      <c r="O245" s="4"/>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row>
    <row r="246" spans="2:51" x14ac:dyDescent="0.2">
      <c r="B246" s="226"/>
      <c r="C246" s="14"/>
      <c r="D246" s="14"/>
      <c r="E246" s="14"/>
      <c r="F246" s="14"/>
      <c r="J246" s="4"/>
      <c r="K246" s="4"/>
      <c r="L246" s="4"/>
      <c r="M246" s="4"/>
      <c r="N246" s="4"/>
      <c r="O246" s="4"/>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row>
    <row r="247" spans="2:51" x14ac:dyDescent="0.2">
      <c r="B247" s="226"/>
      <c r="C247" s="14"/>
      <c r="D247" s="14"/>
      <c r="E247" s="14"/>
      <c r="F247" s="14"/>
      <c r="J247" s="4"/>
      <c r="K247" s="4"/>
      <c r="L247" s="4"/>
      <c r="M247" s="4"/>
      <c r="N247" s="4"/>
      <c r="O247" s="4"/>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row>
    <row r="248" spans="2:51" x14ac:dyDescent="0.2">
      <c r="B248" s="226"/>
      <c r="C248" s="14"/>
      <c r="D248" s="14"/>
      <c r="E248" s="14"/>
      <c r="F248" s="14"/>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row>
    <row r="249" spans="2:51" x14ac:dyDescent="0.2">
      <c r="B249" s="226"/>
      <c r="C249" s="14"/>
      <c r="D249" s="14"/>
      <c r="E249" s="14"/>
      <c r="F249" s="14"/>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row>
    <row r="250" spans="2:51" x14ac:dyDescent="0.2">
      <c r="B250" s="226"/>
      <c r="C250" s="12"/>
      <c r="D250" s="12"/>
      <c r="E250" s="13"/>
      <c r="F250" s="13"/>
      <c r="J250" s="4"/>
      <c r="K250" s="4"/>
      <c r="L250" s="4"/>
      <c r="M250" s="4"/>
      <c r="N250" s="4"/>
      <c r="O250" s="4"/>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row>
    <row r="251" spans="2:51" x14ac:dyDescent="0.2">
      <c r="B251" s="226"/>
      <c r="C251" s="12"/>
      <c r="D251" s="12"/>
      <c r="E251" s="13"/>
      <c r="F251" s="13"/>
      <c r="J251" s="226"/>
      <c r="K251" s="4"/>
      <c r="L251" s="4"/>
      <c r="M251" s="4"/>
      <c r="N251" s="4"/>
      <c r="O251" s="4"/>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row>
    <row r="252" spans="2:51" x14ac:dyDescent="0.2">
      <c r="B252" s="226"/>
      <c r="C252" s="12"/>
      <c r="D252" s="12"/>
      <c r="E252" s="13"/>
      <c r="F252" s="13"/>
      <c r="J252" s="4"/>
      <c r="K252" s="4"/>
      <c r="L252" s="4"/>
      <c r="M252" s="4"/>
      <c r="N252" s="4"/>
      <c r="O252" s="4"/>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row>
    <row r="253" spans="2:51" x14ac:dyDescent="0.2">
      <c r="B253" s="226"/>
      <c r="C253" s="12"/>
      <c r="D253" s="12"/>
      <c r="E253" s="13"/>
      <c r="F253" s="13"/>
      <c r="J253" s="4"/>
      <c r="K253" s="4"/>
      <c r="L253" s="4"/>
      <c r="M253" s="4"/>
      <c r="N253" s="4"/>
      <c r="O253" s="4"/>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row>
    <row r="254" spans="2:51" x14ac:dyDescent="0.2">
      <c r="B254" s="226"/>
      <c r="C254" s="14"/>
      <c r="D254" s="14"/>
      <c r="E254" s="14"/>
      <c r="F254" s="14"/>
      <c r="J254" s="4"/>
      <c r="K254" s="4"/>
      <c r="L254" s="4"/>
      <c r="M254" s="4"/>
      <c r="N254" s="4"/>
      <c r="O254" s="4"/>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row>
    <row r="255" spans="2:51" x14ac:dyDescent="0.2">
      <c r="B255" s="226"/>
      <c r="C255" s="14"/>
      <c r="D255" s="14"/>
      <c r="E255" s="14"/>
      <c r="F255" s="14"/>
      <c r="J255" s="4"/>
      <c r="K255" s="4"/>
      <c r="L255" s="4"/>
      <c r="M255" s="4"/>
      <c r="N255" s="4"/>
      <c r="O255" s="4"/>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row>
    <row r="256" spans="2:51" x14ac:dyDescent="0.2">
      <c r="B256" s="226"/>
      <c r="C256" s="14"/>
      <c r="D256" s="14"/>
      <c r="E256" s="14"/>
      <c r="F256" s="14"/>
      <c r="J256" s="4"/>
      <c r="K256" s="4"/>
      <c r="L256" s="4"/>
      <c r="M256" s="4"/>
      <c r="N256" s="4"/>
      <c r="O256" s="4"/>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row>
    <row r="257" spans="2:51" x14ac:dyDescent="0.2">
      <c r="B257" s="226"/>
      <c r="C257" s="14"/>
      <c r="D257" s="14"/>
      <c r="E257" s="14"/>
      <c r="F257" s="14"/>
      <c r="J257" s="4"/>
      <c r="K257" s="4"/>
      <c r="L257" s="4"/>
      <c r="M257" s="4"/>
      <c r="N257" s="4"/>
      <c r="O257" s="4"/>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row>
    <row r="258" spans="2:51" x14ac:dyDescent="0.2">
      <c r="B258" s="226"/>
      <c r="C258" s="12"/>
      <c r="D258" s="12"/>
      <c r="E258" s="13"/>
      <c r="F258" s="13"/>
      <c r="J258" s="4"/>
      <c r="K258" s="4"/>
      <c r="L258" s="4"/>
      <c r="M258" s="4"/>
      <c r="N258" s="4"/>
      <c r="O258" s="4"/>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row>
    <row r="259" spans="2:51" x14ac:dyDescent="0.2">
      <c r="B259" s="226"/>
      <c r="C259" s="12"/>
      <c r="D259" s="12"/>
      <c r="E259" s="13"/>
      <c r="F259" s="13"/>
      <c r="J259" s="4"/>
      <c r="K259" s="4"/>
      <c r="L259" s="4"/>
      <c r="M259" s="4"/>
      <c r="N259" s="4"/>
      <c r="O259" s="4"/>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row>
    <row r="260" spans="2:51" x14ac:dyDescent="0.2">
      <c r="B260" s="226"/>
      <c r="C260" s="12"/>
      <c r="D260" s="12"/>
      <c r="E260" s="13"/>
      <c r="F260" s="13"/>
      <c r="J260" s="4"/>
      <c r="K260" s="4"/>
      <c r="L260" s="4"/>
      <c r="M260" s="4"/>
      <c r="N260" s="4"/>
      <c r="O260" s="4"/>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row>
    <row r="261" spans="2:51" x14ac:dyDescent="0.2">
      <c r="B261" s="226"/>
      <c r="C261" s="12"/>
      <c r="D261" s="12"/>
      <c r="E261" s="13"/>
      <c r="F261" s="13"/>
      <c r="J261" s="4"/>
      <c r="K261" s="4"/>
      <c r="L261" s="4"/>
      <c r="M261" s="4"/>
      <c r="N261" s="4"/>
      <c r="O261" s="4"/>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row>
    <row r="262" spans="2:51" x14ac:dyDescent="0.2">
      <c r="B262" s="226"/>
      <c r="C262" s="14"/>
      <c r="D262" s="14"/>
      <c r="E262" s="14"/>
      <c r="F262" s="14"/>
      <c r="J262" s="4"/>
      <c r="K262" s="4"/>
      <c r="L262" s="4"/>
      <c r="M262" s="4"/>
      <c r="N262" s="4"/>
      <c r="O262" s="4"/>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row>
    <row r="263" spans="2:51" x14ac:dyDescent="0.2">
      <c r="B263" s="226"/>
      <c r="C263" s="14"/>
      <c r="D263" s="14"/>
      <c r="E263" s="14"/>
      <c r="F263" s="14"/>
      <c r="J263" s="4"/>
      <c r="K263" s="4"/>
      <c r="L263" s="4"/>
      <c r="M263" s="4"/>
      <c r="N263" s="4"/>
      <c r="O263" s="4"/>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row>
    <row r="264" spans="2:51" x14ac:dyDescent="0.2">
      <c r="B264" s="226"/>
      <c r="C264" s="14"/>
      <c r="D264" s="14"/>
      <c r="E264" s="14"/>
      <c r="F264" s="14"/>
      <c r="J264" s="4"/>
      <c r="K264" s="4"/>
      <c r="L264" s="4"/>
      <c r="M264" s="4"/>
      <c r="N264" s="4"/>
      <c r="O264" s="4"/>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row>
    <row r="265" spans="2:51" x14ac:dyDescent="0.2">
      <c r="B265" s="226"/>
      <c r="C265" s="14"/>
      <c r="D265" s="14"/>
      <c r="E265" s="14"/>
      <c r="F265" s="14"/>
      <c r="J265" s="4"/>
      <c r="K265" s="4"/>
      <c r="L265" s="4"/>
      <c r="M265" s="4"/>
      <c r="N265" s="4"/>
      <c r="O265" s="4"/>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row>
    <row r="266" spans="2:51" x14ac:dyDescent="0.2">
      <c r="B266" s="226"/>
      <c r="C266" s="12"/>
      <c r="D266" s="12"/>
      <c r="E266" s="13"/>
      <c r="F266" s="13"/>
      <c r="J266" s="4"/>
      <c r="K266" s="4"/>
      <c r="L266" s="4"/>
      <c r="M266" s="4"/>
      <c r="N266" s="4"/>
      <c r="O266" s="4"/>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row>
    <row r="267" spans="2:51" x14ac:dyDescent="0.2">
      <c r="B267" s="226"/>
      <c r="C267" s="12"/>
      <c r="D267" s="12"/>
      <c r="E267" s="13"/>
      <c r="F267" s="13"/>
      <c r="J267" s="4"/>
      <c r="K267" s="4"/>
      <c r="L267" s="4"/>
      <c r="M267" s="4"/>
      <c r="N267" s="4"/>
      <c r="O267" s="4"/>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row>
    <row r="268" spans="2:51" x14ac:dyDescent="0.2">
      <c r="B268" s="226"/>
      <c r="C268" s="12"/>
      <c r="D268" s="12"/>
      <c r="E268" s="13"/>
      <c r="F268" s="13"/>
      <c r="J268" s="4"/>
      <c r="K268" s="4"/>
      <c r="L268" s="4"/>
      <c r="M268" s="4"/>
      <c r="N268" s="4"/>
      <c r="O268" s="4"/>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row>
    <row r="269" spans="2:51" x14ac:dyDescent="0.2">
      <c r="B269" s="226"/>
      <c r="C269" s="12"/>
      <c r="D269" s="12"/>
      <c r="E269" s="13"/>
      <c r="F269" s="13"/>
      <c r="J269" s="4"/>
      <c r="K269" s="4"/>
      <c r="L269" s="4"/>
      <c r="M269" s="4"/>
      <c r="N269" s="4"/>
      <c r="O269" s="4"/>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row>
    <row r="270" spans="2:51" x14ac:dyDescent="0.2">
      <c r="B270" s="226"/>
      <c r="C270" s="14"/>
      <c r="D270" s="14"/>
      <c r="E270" s="14"/>
      <c r="F270" s="14"/>
      <c r="J270" s="4"/>
      <c r="K270" s="4"/>
      <c r="L270" s="4"/>
      <c r="M270" s="4"/>
      <c r="N270" s="4"/>
      <c r="O270" s="4"/>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row>
    <row r="271" spans="2:51" x14ac:dyDescent="0.2">
      <c r="B271" s="226"/>
      <c r="C271" s="146"/>
      <c r="D271" s="146"/>
      <c r="J271" s="4"/>
      <c r="K271" s="4"/>
      <c r="L271" s="4"/>
      <c r="M271" s="4"/>
      <c r="N271" s="4"/>
      <c r="O271" s="4"/>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row>
    <row r="272" spans="2:51" x14ac:dyDescent="0.2">
      <c r="B272" s="226" t="s">
        <v>233</v>
      </c>
      <c r="C272" s="12"/>
      <c r="D272" s="12"/>
      <c r="E272" s="13"/>
      <c r="F272" s="13"/>
      <c r="N272" s="4"/>
      <c r="O272" s="4"/>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row>
    <row r="273" spans="2:51" x14ac:dyDescent="0.2">
      <c r="B273" s="226"/>
      <c r="C273" s="12"/>
      <c r="D273" s="12"/>
      <c r="E273" s="13"/>
      <c r="F273" s="13"/>
      <c r="J273" s="4"/>
      <c r="K273" s="4"/>
      <c r="L273" s="4"/>
      <c r="M273" s="4"/>
      <c r="N273" s="4"/>
      <c r="O273" s="4"/>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row>
    <row r="274" spans="2:51" x14ac:dyDescent="0.2">
      <c r="B274" s="226"/>
      <c r="C274" s="12"/>
      <c r="D274" s="12"/>
      <c r="E274" s="13"/>
      <c r="F274" s="13"/>
      <c r="J274" s="4"/>
      <c r="K274" s="4"/>
      <c r="L274" s="4"/>
      <c r="M274" s="4"/>
      <c r="N274" s="4"/>
      <c r="O274" s="4"/>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row>
    <row r="275" spans="2:51" x14ac:dyDescent="0.2">
      <c r="B275" s="226"/>
      <c r="C275" s="14"/>
      <c r="D275" s="14"/>
      <c r="E275" s="14"/>
      <c r="F275" s="14"/>
      <c r="J275" s="4"/>
      <c r="K275" s="4"/>
      <c r="L275" s="4"/>
      <c r="M275" s="4"/>
      <c r="N275" s="4"/>
      <c r="O275" s="4"/>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row>
    <row r="276" spans="2:51" x14ac:dyDescent="0.2">
      <c r="B276" s="226"/>
      <c r="C276" s="14"/>
      <c r="D276" s="14"/>
      <c r="E276" s="14"/>
      <c r="F276" s="14"/>
      <c r="J276" s="4"/>
      <c r="K276" s="4"/>
      <c r="L276" s="4"/>
      <c r="M276" s="4"/>
      <c r="N276" s="4"/>
      <c r="O276" s="4"/>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row>
    <row r="277" spans="2:51" x14ac:dyDescent="0.2">
      <c r="B277" s="226"/>
      <c r="C277" s="14"/>
      <c r="D277" s="14"/>
      <c r="E277" s="14"/>
      <c r="F277" s="14"/>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row>
    <row r="278" spans="2:51" x14ac:dyDescent="0.2">
      <c r="B278" s="226"/>
      <c r="C278" s="14"/>
      <c r="D278" s="14"/>
      <c r="E278" s="14"/>
      <c r="F278" s="14"/>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row>
    <row r="279" spans="2:51" x14ac:dyDescent="0.2">
      <c r="B279" s="226"/>
      <c r="C279" s="12"/>
      <c r="D279" s="12"/>
      <c r="E279" s="13"/>
      <c r="F279" s="13"/>
      <c r="J279" s="4"/>
      <c r="K279" s="4"/>
      <c r="L279" s="4"/>
      <c r="M279" s="4"/>
      <c r="N279" s="4"/>
      <c r="O279" s="4"/>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row>
    <row r="280" spans="2:51" x14ac:dyDescent="0.2">
      <c r="B280" s="226"/>
      <c r="C280" s="12"/>
      <c r="D280" s="12"/>
      <c r="E280" s="13"/>
      <c r="F280" s="13"/>
      <c r="J280" s="226"/>
      <c r="K280" s="4"/>
      <c r="L280" s="4"/>
      <c r="M280" s="4"/>
      <c r="N280" s="4"/>
      <c r="O280" s="4"/>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row>
    <row r="281" spans="2:51" x14ac:dyDescent="0.2">
      <c r="B281" s="226"/>
      <c r="C281" s="12"/>
      <c r="D281" s="12"/>
      <c r="E281" s="13"/>
      <c r="F281" s="13"/>
      <c r="J281" s="4"/>
      <c r="K281" s="4"/>
      <c r="L281" s="4"/>
      <c r="M281" s="4"/>
      <c r="N281" s="4"/>
      <c r="O281" s="4"/>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row>
    <row r="282" spans="2:51" x14ac:dyDescent="0.2">
      <c r="B282" s="226"/>
      <c r="C282" s="12"/>
      <c r="D282" s="12"/>
      <c r="E282" s="13"/>
      <c r="F282" s="13"/>
      <c r="J282" s="4"/>
      <c r="K282" s="4"/>
      <c r="L282" s="4"/>
      <c r="M282" s="4"/>
      <c r="N282" s="4"/>
      <c r="O282" s="4"/>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row>
    <row r="283" spans="2:51" x14ac:dyDescent="0.2">
      <c r="B283" s="226"/>
      <c r="C283" s="14"/>
      <c r="D283" s="14"/>
      <c r="E283" s="14"/>
      <c r="F283" s="14"/>
      <c r="J283" s="4"/>
      <c r="K283" s="4"/>
      <c r="L283" s="4"/>
      <c r="M283" s="4"/>
      <c r="N283" s="4"/>
      <c r="O283" s="4"/>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row>
    <row r="284" spans="2:51" x14ac:dyDescent="0.2">
      <c r="B284" s="226"/>
      <c r="C284" s="14"/>
      <c r="D284" s="14"/>
      <c r="E284" s="14"/>
      <c r="F284" s="14"/>
      <c r="J284" s="4"/>
      <c r="K284" s="4"/>
      <c r="L284" s="4"/>
      <c r="M284" s="4"/>
      <c r="N284" s="4"/>
      <c r="O284" s="4"/>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row>
    <row r="285" spans="2:51" x14ac:dyDescent="0.2">
      <c r="B285" s="226"/>
      <c r="C285" s="14"/>
      <c r="D285" s="14"/>
      <c r="E285" s="14"/>
      <c r="F285" s="14"/>
      <c r="J285" s="4"/>
      <c r="K285" s="4"/>
      <c r="L285" s="4"/>
      <c r="M285" s="4"/>
      <c r="N285" s="4"/>
      <c r="O285" s="4"/>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row>
    <row r="286" spans="2:51" x14ac:dyDescent="0.2">
      <c r="B286" s="226"/>
      <c r="C286" s="14"/>
      <c r="D286" s="14"/>
      <c r="E286" s="14"/>
      <c r="F286" s="14"/>
      <c r="J286" s="4"/>
      <c r="K286" s="4"/>
      <c r="L286" s="4"/>
      <c r="M286" s="4"/>
      <c r="N286" s="4"/>
      <c r="O286" s="4"/>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row>
    <row r="287" spans="2:51" x14ac:dyDescent="0.2">
      <c r="B287" s="226"/>
      <c r="C287" s="12"/>
      <c r="D287" s="12"/>
      <c r="E287" s="13"/>
      <c r="F287" s="13"/>
      <c r="J287" s="4"/>
      <c r="K287" s="4"/>
      <c r="L287" s="4"/>
      <c r="M287" s="4"/>
      <c r="N287" s="4"/>
      <c r="O287" s="4"/>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row>
    <row r="288" spans="2:51" x14ac:dyDescent="0.2">
      <c r="B288" s="226"/>
      <c r="C288" s="12"/>
      <c r="D288" s="12"/>
      <c r="E288" s="13"/>
      <c r="F288" s="13"/>
      <c r="J288" s="4"/>
      <c r="K288" s="4"/>
      <c r="L288" s="4"/>
      <c r="M288" s="4"/>
      <c r="N288" s="4"/>
      <c r="O288" s="4"/>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row>
    <row r="289" spans="2:51" x14ac:dyDescent="0.2">
      <c r="B289" s="226"/>
      <c r="C289" s="12"/>
      <c r="D289" s="12"/>
      <c r="E289" s="13"/>
      <c r="F289" s="13"/>
      <c r="J289" s="4"/>
      <c r="K289" s="4"/>
      <c r="L289" s="4"/>
      <c r="M289" s="4"/>
      <c r="N289" s="4"/>
      <c r="O289" s="4"/>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row>
    <row r="290" spans="2:51" x14ac:dyDescent="0.2">
      <c r="B290" s="226"/>
      <c r="C290" s="12"/>
      <c r="D290" s="12"/>
      <c r="E290" s="13"/>
      <c r="F290" s="13"/>
      <c r="J290" s="4"/>
      <c r="K290" s="4"/>
      <c r="L290" s="4"/>
      <c r="M290" s="4"/>
      <c r="N290" s="4"/>
      <c r="O290" s="4"/>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row>
    <row r="291" spans="2:51" x14ac:dyDescent="0.2">
      <c r="B291" s="226"/>
      <c r="C291" s="14"/>
      <c r="D291" s="14"/>
      <c r="E291" s="14"/>
      <c r="F291" s="14"/>
      <c r="J291" s="4"/>
      <c r="K291" s="4"/>
      <c r="L291" s="4"/>
      <c r="M291" s="4"/>
      <c r="N291" s="4"/>
      <c r="O291" s="4"/>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row>
    <row r="292" spans="2:51" x14ac:dyDescent="0.2">
      <c r="B292" s="226"/>
      <c r="C292" s="14"/>
      <c r="D292" s="14"/>
      <c r="E292" s="14"/>
      <c r="F292" s="14"/>
      <c r="J292" s="4"/>
      <c r="K292" s="4"/>
      <c r="L292" s="4"/>
      <c r="M292" s="4"/>
      <c r="N292" s="4"/>
      <c r="O292" s="4"/>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row>
    <row r="293" spans="2:51" x14ac:dyDescent="0.2">
      <c r="B293" s="226"/>
      <c r="C293" s="14"/>
      <c r="D293" s="14"/>
      <c r="E293" s="14"/>
      <c r="F293" s="14"/>
      <c r="J293" s="4"/>
      <c r="K293" s="4"/>
      <c r="L293" s="4"/>
      <c r="M293" s="4"/>
      <c r="N293" s="4"/>
      <c r="O293" s="4"/>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row>
    <row r="294" spans="2:51" x14ac:dyDescent="0.2">
      <c r="B294" s="226"/>
      <c r="C294" s="14"/>
      <c r="D294" s="14"/>
      <c r="E294" s="14"/>
      <c r="F294" s="14"/>
      <c r="J294" s="4"/>
      <c r="K294" s="4"/>
      <c r="L294" s="4"/>
      <c r="M294" s="4"/>
      <c r="N294" s="4"/>
      <c r="O294" s="4"/>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row>
    <row r="295" spans="2:51" x14ac:dyDescent="0.2">
      <c r="B295" s="226"/>
      <c r="C295" s="12"/>
      <c r="D295" s="12"/>
      <c r="E295" s="13"/>
      <c r="F295" s="13"/>
      <c r="J295" s="4"/>
      <c r="K295" s="4"/>
      <c r="L295" s="4"/>
      <c r="M295" s="4"/>
      <c r="N295" s="4"/>
      <c r="O295" s="4"/>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row>
    <row r="296" spans="2:51" x14ac:dyDescent="0.2">
      <c r="B296" s="226"/>
      <c r="C296" s="12"/>
      <c r="D296" s="12"/>
      <c r="E296" s="13"/>
      <c r="F296" s="13"/>
      <c r="J296" s="4"/>
      <c r="K296" s="4"/>
      <c r="L296" s="4"/>
      <c r="M296" s="4"/>
      <c r="N296" s="4"/>
      <c r="O296" s="4"/>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row>
    <row r="297" spans="2:51" x14ac:dyDescent="0.2">
      <c r="B297" s="226"/>
      <c r="C297" s="12"/>
      <c r="D297" s="12"/>
      <c r="E297" s="13"/>
      <c r="F297" s="13"/>
      <c r="J297" s="4"/>
      <c r="K297" s="4"/>
      <c r="L297" s="4"/>
      <c r="M297" s="4"/>
      <c r="N297" s="4"/>
      <c r="O297" s="4"/>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row>
    <row r="298" spans="2:51" x14ac:dyDescent="0.2">
      <c r="B298" s="226"/>
      <c r="C298" s="12"/>
      <c r="D298" s="12"/>
      <c r="E298" s="13"/>
      <c r="F298" s="13"/>
      <c r="J298" s="4"/>
      <c r="K298" s="4"/>
      <c r="L298" s="4"/>
      <c r="M298" s="4"/>
      <c r="N298" s="4"/>
      <c r="O298" s="4"/>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row>
    <row r="299" spans="2:51" x14ac:dyDescent="0.2">
      <c r="B299" s="226"/>
      <c r="C299" s="14"/>
      <c r="D299" s="14"/>
      <c r="E299" s="14"/>
      <c r="F299" s="14"/>
      <c r="J299" s="4"/>
      <c r="K299" s="4"/>
      <c r="L299" s="4"/>
      <c r="M299" s="4"/>
      <c r="N299" s="4"/>
      <c r="O299" s="4"/>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row>
    <row r="300" spans="2:51" x14ac:dyDescent="0.2">
      <c r="B300" s="226"/>
      <c r="C300" s="146"/>
      <c r="D300" s="146"/>
      <c r="J300" s="4"/>
      <c r="K300" s="4"/>
      <c r="L300" s="4"/>
      <c r="M300" s="4"/>
      <c r="N300" s="4"/>
      <c r="O300" s="4"/>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row>
    <row r="301" spans="2:51" x14ac:dyDescent="0.2">
      <c r="B301" s="226"/>
      <c r="C301" s="146"/>
      <c r="D301" s="146"/>
      <c r="J301" s="4"/>
      <c r="K301" s="4"/>
      <c r="L301" s="4"/>
      <c r="M301" s="4"/>
      <c r="N301" s="4"/>
      <c r="O301" s="4"/>
      <c r="P301" s="4"/>
      <c r="Q301" s="4"/>
      <c r="R301" s="4"/>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row>
    <row r="302" spans="2:51" x14ac:dyDescent="0.2">
      <c r="L302" s="4"/>
      <c r="M302" s="4"/>
      <c r="N302" s="4"/>
      <c r="O302" s="4"/>
      <c r="P302" s="4"/>
      <c r="Q302" s="4"/>
      <c r="R302" s="4"/>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row>
    <row r="303" spans="2:51" x14ac:dyDescent="0.2">
      <c r="B303" s="141" t="s">
        <v>152</v>
      </c>
      <c r="C303" s="142" t="s">
        <v>129</v>
      </c>
      <c r="D303" s="142" t="s">
        <v>129</v>
      </c>
      <c r="E303" s="142" t="s">
        <v>129</v>
      </c>
      <c r="F303" s="142" t="s">
        <v>139</v>
      </c>
      <c r="G303" s="273" t="s">
        <v>139</v>
      </c>
      <c r="H303" s="273" t="s">
        <v>139</v>
      </c>
      <c r="I303" s="142" t="s">
        <v>130</v>
      </c>
      <c r="J303" s="142" t="s">
        <v>130</v>
      </c>
      <c r="K303" s="142" t="s">
        <v>130</v>
      </c>
      <c r="L303" s="266"/>
      <c r="M303" s="266"/>
      <c r="N303" s="266"/>
      <c r="O303" s="4"/>
      <c r="P303" s="4"/>
      <c r="Q303" s="4"/>
      <c r="R303" s="26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row>
    <row r="304" spans="2:51" x14ac:dyDescent="0.2">
      <c r="B304" s="143"/>
      <c r="C304" s="141">
        <v>2018</v>
      </c>
      <c r="D304" s="141" t="s">
        <v>220</v>
      </c>
      <c r="E304" s="141" t="s">
        <v>221</v>
      </c>
      <c r="F304" s="141">
        <v>2018</v>
      </c>
      <c r="G304" s="141" t="s">
        <v>220</v>
      </c>
      <c r="H304" s="141" t="s">
        <v>221</v>
      </c>
      <c r="I304" s="141">
        <v>2018</v>
      </c>
      <c r="J304" s="141" t="s">
        <v>220</v>
      </c>
      <c r="K304" s="141" t="s">
        <v>221</v>
      </c>
      <c r="L304" s="267"/>
      <c r="M304" s="267"/>
      <c r="N304" s="267"/>
      <c r="O304" s="4"/>
      <c r="P304" s="4"/>
      <c r="Q304" s="4"/>
      <c r="R304" s="267"/>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row>
    <row r="305" spans="2:51" x14ac:dyDescent="0.2">
      <c r="B305" s="143" t="s">
        <v>153</v>
      </c>
      <c r="C305" s="38">
        <f>'2018'!$X$14+'2018'!$X$17+'2018'!$X$18+'2018'!$X$19+'2018'!$X$20+'2018'!$X$21+'2018'!$X$22</f>
        <v>63.169999999999995</v>
      </c>
      <c r="D305" s="38">
        <f>'BAU2030'!$X$14+'BAU2030'!$X$17+'BAU2030'!$X$18+'BAU2030'!$X$19+'BAU2030'!$X$20+'BAU2030'!$X$21+'BAU2030'!$X$22</f>
        <v>55.099200000000003</v>
      </c>
      <c r="E305" s="38">
        <f>'BAU2050'!$X$14+'BAU2050'!$X$17+'BAU2050'!$X$18+'BAU2050'!$X$19+'BAU2050'!$X$20+'BAU2050'!$X$21+'BAU2050'!$X$22</f>
        <v>49.427999999999997</v>
      </c>
      <c r="F305" s="38" t="e">
        <f>SUM('2018'!$L$14:$V$22)+('2018'!$I$16+'2018'!$I$18)/('2018'!$I$16+'2018'!$I$18+'2018'!$I$24+SUM('2018'!$I$33:$I$71))*SUM('2018'!$L$31:$V$31)</f>
        <v>#DIV/0!</v>
      </c>
      <c r="G305" s="38" t="e">
        <f>SUM('BAU2030'!$L$14:$V$22)+('BAU2030'!$I$16+'BAU2030'!$I$18)/('BAU2030'!$I$16+'BAU2030'!$I$18+'BAU2030'!$I$24+SUM('BAU2030'!$I$33:$I$71))*SUM('BAU2030'!$L$31:$V$31)</f>
        <v>#DIV/0!</v>
      </c>
      <c r="H305" s="38" t="e">
        <f>SUM('BAU2050'!$L$14:$V$22)+('BAU2050'!$I$16+'BAU2050'!$I$18)/('BAU2050'!$I$16+'BAU2050'!$I$18+'BAU2050'!$I$24+SUM('BAU2050'!$I$33:$I$71))*SUM('BAU2050'!$L$31:$V$31)</f>
        <v>#DIV/0!</v>
      </c>
      <c r="I305" s="38" t="e">
        <f t="shared" ref="I305:K310" si="0">C305-F305</f>
        <v>#DIV/0!</v>
      </c>
      <c r="J305" s="38" t="e">
        <f t="shared" si="0"/>
        <v>#DIV/0!</v>
      </c>
      <c r="K305" s="38" t="e">
        <f t="shared" si="0"/>
        <v>#DIV/0!</v>
      </c>
      <c r="L305" s="178"/>
      <c r="M305" s="178"/>
      <c r="N305" s="178"/>
      <c r="O305" s="4"/>
      <c r="P305" s="4"/>
      <c r="Q305" s="4"/>
      <c r="R305" s="178"/>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row>
    <row r="306" spans="2:51" x14ac:dyDescent="0.2">
      <c r="B306" s="143" t="s">
        <v>154</v>
      </c>
      <c r="C306" s="38">
        <f>SUM('2018'!$X$32:$X$62)</f>
        <v>21.718</v>
      </c>
      <c r="D306" s="38">
        <f>SUM('BAU2030'!$X$32:$X$62)</f>
        <v>20.849279999999997</v>
      </c>
      <c r="E306" s="38">
        <f>SUM('BAU2050'!$X$32:$X$62)</f>
        <v>19.546199999999999</v>
      </c>
      <c r="F306" s="38" t="e">
        <f>SUM('2018'!$L$32:$V$62)+SUM('2018'!$I$33:$I$71)/('2018'!$I$16+'2018'!$I$18+'2018'!$I$24+SUM('2018'!$I$33:$I$71))*SUM('2018'!$L$31:$V$31)</f>
        <v>#DIV/0!</v>
      </c>
      <c r="G306" s="38" t="e">
        <f>SUM('BAU2030'!$L$32:$V$62)+SUM('BAU2030'!$I$33:$I$71)/('BAU2030'!$I$16+'BAU2030'!$I$18+'BAU2030'!$I$24+SUM('BAU2030'!$I$33:$I$71))*SUM('BAU2030'!$L$31:$V$31)</f>
        <v>#DIV/0!</v>
      </c>
      <c r="H306" s="38" t="e">
        <f>SUM('BAU2050'!$L$32:$V$62)+SUM('BAU2050'!$I$33:$I$71)/('BAU2050'!$I$16+'BAU2050'!$I$18+'BAU2050'!$I$24+SUM('BAU2050'!$I$33:$I$71))*SUM('BAU2050'!$L$31:$V$31)</f>
        <v>#DIV/0!</v>
      </c>
      <c r="I306" s="38" t="e">
        <f t="shared" si="0"/>
        <v>#DIV/0!</v>
      </c>
      <c r="J306" s="38" t="e">
        <f t="shared" si="0"/>
        <v>#DIV/0!</v>
      </c>
      <c r="K306" s="38" t="e">
        <f t="shared" si="0"/>
        <v>#DIV/0!</v>
      </c>
      <c r="L306" s="178"/>
      <c r="M306" s="178"/>
      <c r="N306" s="178"/>
      <c r="O306" s="4"/>
      <c r="P306" s="4"/>
      <c r="Q306" s="4"/>
      <c r="R306" s="178"/>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row>
    <row r="307" spans="2:51" x14ac:dyDescent="0.2">
      <c r="B307" s="143" t="s">
        <v>155</v>
      </c>
      <c r="C307" s="38">
        <f>'2018'!$X$16+'2018'!$X$23+'2018'!$X$24+'2018'!$X$25+SUM('2018'!$X$63:$X$71)</f>
        <v>10.89</v>
      </c>
      <c r="D307" s="38">
        <f>'BAU2030'!$X$16+'BAU2030'!$X$23+'BAU2030'!$X$24+'BAU2030'!$X$25+SUM('BAU2030'!$X$63:$X$71)</f>
        <v>10.89</v>
      </c>
      <c r="E307" s="38">
        <f>'BAU2050'!$X$16+'BAU2050'!$X$23+'BAU2050'!$X$24+'BAU2050'!$X$25+SUM('BAU2050'!$X$63:$X$71)</f>
        <v>10.89</v>
      </c>
      <c r="F307" s="38" t="e">
        <f>SUM('2018'!$L$25:$V$25)+SUM('2018'!$M$63:$V$71)+('2018'!$I$24)/('2018'!$I$16+'2018'!$I$18+'2018'!$I$24+SUM('2018'!$I$33:$I$71))*SUM('2018'!$L$31:$V$31)</f>
        <v>#DIV/0!</v>
      </c>
      <c r="G307" s="38" t="e">
        <f>SUM('BAU2030'!$L$25:$V$25)+SUM('BAU2030'!$M$63:$V$71)+('BAU2030'!$I$24)/('BAU2030'!$I$16+'BAU2030'!$I$18+'BAU2030'!$I$24+SUM('BAU2030'!$I$33:$I$71))*SUM('BAU2030'!$L$31:$V$31)</f>
        <v>#DIV/0!</v>
      </c>
      <c r="H307" s="38" t="e">
        <f>SUM('BAU2050'!$L$25:$V$25)+SUM('BAU2050'!$M$63:$V$71)+('BAU2050'!$I$24)/('BAU2050'!$I$16+'BAU2050'!$I$18+'BAU2050'!$I$24+SUM('BAU2050'!$I$33:$I$71))*SUM('BAU2050'!$L$31:$V$31)</f>
        <v>#DIV/0!</v>
      </c>
      <c r="I307" s="38" t="e">
        <f t="shared" si="0"/>
        <v>#DIV/0!</v>
      </c>
      <c r="J307" s="38" t="e">
        <f t="shared" si="0"/>
        <v>#DIV/0!</v>
      </c>
      <c r="K307" s="38" t="e">
        <f t="shared" si="0"/>
        <v>#DIV/0!</v>
      </c>
      <c r="L307" s="178"/>
      <c r="M307" s="178"/>
      <c r="N307" s="178"/>
      <c r="O307" s="4"/>
      <c r="P307" s="4"/>
      <c r="Q307" s="4"/>
      <c r="R307" s="178"/>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row>
    <row r="308" spans="2:51" x14ac:dyDescent="0.2">
      <c r="B308" s="143" t="s">
        <v>156</v>
      </c>
      <c r="C308" s="38">
        <f>SUM('2018'!$X$72:$X$80)</f>
        <v>92.626000000000019</v>
      </c>
      <c r="D308" s="38">
        <f>SUM('BAU2030'!$X$72:$X$80)</f>
        <v>89.15444353800001</v>
      </c>
      <c r="E308" s="38">
        <f>SUM('BAU2050'!$X$72:$X$80)</f>
        <v>66.322825300000005</v>
      </c>
      <c r="F308" s="38">
        <f>SUM('2018'!$P$72:$P$80)</f>
        <v>3.9024300000000003</v>
      </c>
      <c r="G308" s="39">
        <f>SUM('BAU2030'!$P$72:$P$80)</f>
        <v>3.7886675909999994</v>
      </c>
      <c r="H308" s="39">
        <f>SUM('BAU2050'!$P$72:$P$80)</f>
        <v>2.4618078109999999</v>
      </c>
      <c r="I308" s="38">
        <f t="shared" si="0"/>
        <v>88.723570000000024</v>
      </c>
      <c r="J308" s="38">
        <f t="shared" si="0"/>
        <v>85.365775947000003</v>
      </c>
      <c r="K308" s="38">
        <f t="shared" si="0"/>
        <v>63.861017489000005</v>
      </c>
      <c r="L308" s="178"/>
      <c r="M308" s="178"/>
      <c r="N308" s="178"/>
      <c r="O308" s="4"/>
      <c r="P308" s="4"/>
      <c r="Q308" s="4"/>
      <c r="R308" s="178"/>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row>
    <row r="309" spans="2:51" x14ac:dyDescent="0.2">
      <c r="B309" s="143" t="s">
        <v>207</v>
      </c>
      <c r="C309" s="38">
        <f>SUM('2018'!$X$26:$X$29)</f>
        <v>18.64</v>
      </c>
      <c r="D309" s="38">
        <f>SUM('BAU2030'!$X$26:$X$29)</f>
        <v>18.417355152000003</v>
      </c>
      <c r="E309" s="38">
        <f>SUM('BAU2050'!$X$26:$X$29)</f>
        <v>18.417355152000003</v>
      </c>
      <c r="F309" s="38">
        <f>SUM('2018'!$X$26:$X$30)</f>
        <v>18.64</v>
      </c>
      <c r="G309" s="39">
        <f>SUM('BAU2030'!$X$26:$X$30)</f>
        <v>18.417355152000003</v>
      </c>
      <c r="H309" s="39">
        <f>SUM('BAU2050'!$X$26:$X$30)</f>
        <v>18.417355152000003</v>
      </c>
      <c r="I309" s="38">
        <f t="shared" si="0"/>
        <v>0</v>
      </c>
      <c r="J309" s="38">
        <f t="shared" si="0"/>
        <v>0</v>
      </c>
      <c r="K309" s="38">
        <f t="shared" si="0"/>
        <v>0</v>
      </c>
      <c r="L309" s="178"/>
      <c r="M309" s="178"/>
      <c r="N309" s="178"/>
      <c r="O309" s="4"/>
      <c r="P309" s="4"/>
      <c r="Q309" s="4"/>
      <c r="R309" s="178"/>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row>
    <row r="310" spans="2:51" x14ac:dyDescent="0.2">
      <c r="B310" s="143" t="s">
        <v>157</v>
      </c>
      <c r="C310" s="38">
        <f>'2018'!$X$15</f>
        <v>36.492101701636436</v>
      </c>
      <c r="D310" s="38">
        <f>'BAU2030'!$X$15</f>
        <v>44.480998126055781</v>
      </c>
      <c r="E310" s="38">
        <f>'BAU2050'!$X$15</f>
        <v>54.220481603592688</v>
      </c>
      <c r="F310" s="38">
        <f>C310*'2018'!$A$87%</f>
        <v>16.056524748720033</v>
      </c>
      <c r="G310" s="39">
        <f>D310*'BAU2030'!$A$87%</f>
        <v>44.480998126055781</v>
      </c>
      <c r="H310" s="39">
        <f>E310*'BAU2050'!$A$87%</f>
        <v>54.220481603592688</v>
      </c>
      <c r="I310" s="38">
        <f t="shared" si="0"/>
        <v>20.435576952916403</v>
      </c>
      <c r="J310" s="38">
        <f t="shared" si="0"/>
        <v>0</v>
      </c>
      <c r="K310" s="38">
        <f t="shared" si="0"/>
        <v>0</v>
      </c>
      <c r="L310" s="178"/>
      <c r="M310" s="178"/>
      <c r="N310" s="178"/>
      <c r="O310" s="4"/>
      <c r="P310" s="4"/>
      <c r="Q310" s="4"/>
      <c r="R310" s="178"/>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row>
    <row r="311" spans="2:51" x14ac:dyDescent="0.2">
      <c r="B311" s="15" t="s">
        <v>147</v>
      </c>
      <c r="C311" s="16">
        <f t="shared" ref="C311:K311" si="1">SUM(C305:C310)</f>
        <v>243.53610170163643</v>
      </c>
      <c r="D311" s="16">
        <f t="shared" si="1"/>
        <v>238.89127681605578</v>
      </c>
      <c r="E311" s="16">
        <f t="shared" si="1"/>
        <v>218.82486205559269</v>
      </c>
      <c r="F311" s="16" t="e">
        <f t="shared" si="1"/>
        <v>#DIV/0!</v>
      </c>
      <c r="G311" s="17" t="e">
        <f t="shared" si="1"/>
        <v>#DIV/0!</v>
      </c>
      <c r="H311" s="17" t="e">
        <f t="shared" si="1"/>
        <v>#DIV/0!</v>
      </c>
      <c r="I311" s="16" t="e">
        <f t="shared" si="1"/>
        <v>#DIV/0!</v>
      </c>
      <c r="J311" s="16" t="e">
        <f t="shared" si="1"/>
        <v>#DIV/0!</v>
      </c>
      <c r="K311" s="16" t="e">
        <f t="shared" si="1"/>
        <v>#DIV/0!</v>
      </c>
      <c r="L311" s="259"/>
      <c r="M311" s="259"/>
      <c r="N311" s="259"/>
      <c r="O311" s="4"/>
      <c r="P311" s="4"/>
      <c r="Q311" s="4"/>
      <c r="R311" s="259"/>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row>
    <row r="312" spans="2:51" x14ac:dyDescent="0.2">
      <c r="F312" s="156"/>
      <c r="G312" s="156"/>
      <c r="H312" s="156"/>
      <c r="L312" s="4"/>
      <c r="M312" s="4"/>
      <c r="N312" s="4"/>
      <c r="O312" s="4"/>
      <c r="P312" s="4"/>
      <c r="Q312" s="4"/>
      <c r="R312" s="4"/>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row>
    <row r="313" spans="2:51" x14ac:dyDescent="0.2">
      <c r="C313" s="272"/>
      <c r="D313" s="272"/>
      <c r="E313" s="272"/>
      <c r="F313" s="272"/>
      <c r="G313" s="272"/>
      <c r="H313" s="272"/>
      <c r="I313" s="272"/>
      <c r="J313" s="272"/>
      <c r="K313" s="272"/>
      <c r="L313" s="274"/>
      <c r="M313" s="274"/>
      <c r="N313" s="274"/>
      <c r="O313" s="274"/>
      <c r="P313" s="274"/>
      <c r="Q313" s="274"/>
      <c r="R313" s="274"/>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row>
    <row r="314" spans="2:51" x14ac:dyDescent="0.2">
      <c r="B314" s="226" t="s">
        <v>158</v>
      </c>
      <c r="H314" s="275"/>
      <c r="I314" s="275"/>
      <c r="J314" s="275"/>
      <c r="K314" s="275"/>
      <c r="L314" s="275"/>
      <c r="M314" s="275"/>
      <c r="N314" s="275"/>
      <c r="O314" s="275"/>
      <c r="P314" s="275"/>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row>
    <row r="315" spans="2:51" x14ac:dyDescent="0.2">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row>
    <row r="316" spans="2:51" x14ac:dyDescent="0.2">
      <c r="K316" s="276"/>
      <c r="L316" s="276"/>
      <c r="M316" s="276"/>
      <c r="N316" s="276"/>
      <c r="O316" s="276"/>
      <c r="P316" s="27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row>
    <row r="317" spans="2:51" x14ac:dyDescent="0.2">
      <c r="J317" s="277"/>
      <c r="K317" s="278"/>
      <c r="L317" s="278"/>
      <c r="M317" s="278"/>
      <c r="N317" s="278"/>
      <c r="O317" s="278"/>
      <c r="P317" s="278"/>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row>
    <row r="318" spans="2:51" x14ac:dyDescent="0.2">
      <c r="J318" s="278"/>
      <c r="K318" s="278"/>
      <c r="L318" s="278"/>
      <c r="M318" s="278"/>
      <c r="N318" s="278"/>
      <c r="O318" s="278"/>
      <c r="P318" s="278"/>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row>
    <row r="319" spans="2:51" x14ac:dyDescent="0.2">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row>
    <row r="320" spans="2:51" x14ac:dyDescent="0.2">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row>
    <row r="321" spans="19:51" x14ac:dyDescent="0.2">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row>
    <row r="322" spans="19:51" x14ac:dyDescent="0.2">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row>
    <row r="323" spans="19:51" x14ac:dyDescent="0.2">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row>
    <row r="324" spans="19:51" x14ac:dyDescent="0.2">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row>
    <row r="325" spans="19:51" x14ac:dyDescent="0.2">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row>
    <row r="326" spans="19:51" x14ac:dyDescent="0.2">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row>
    <row r="327" spans="19:51" x14ac:dyDescent="0.2">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row>
    <row r="328" spans="19:51" x14ac:dyDescent="0.2">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row>
    <row r="329" spans="19:51" x14ac:dyDescent="0.2">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row>
    <row r="330" spans="19:51" x14ac:dyDescent="0.2">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row>
    <row r="331" spans="19:51" x14ac:dyDescent="0.2">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row>
    <row r="332" spans="19:51" x14ac:dyDescent="0.2">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row>
    <row r="333" spans="19:51" x14ac:dyDescent="0.2">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row>
    <row r="334" spans="19:51" x14ac:dyDescent="0.2">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row>
    <row r="335" spans="19:51" x14ac:dyDescent="0.2">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row>
    <row r="336" spans="19:51" x14ac:dyDescent="0.2">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row>
    <row r="337" spans="2:51" x14ac:dyDescent="0.2">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row>
    <row r="338" spans="2:51" x14ac:dyDescent="0.2">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row>
    <row r="339" spans="2:51" x14ac:dyDescent="0.2">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row>
    <row r="340" spans="2:51" x14ac:dyDescent="0.2">
      <c r="C340" s="216"/>
      <c r="D340" s="21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row>
    <row r="341" spans="2:51" x14ac:dyDescent="0.2">
      <c r="C341" s="216"/>
      <c r="D341" s="21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row>
    <row r="342" spans="2:51" x14ac:dyDescent="0.2">
      <c r="C342" s="216"/>
      <c r="D342" s="21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row>
    <row r="343" spans="2:51" x14ac:dyDescent="0.2">
      <c r="B343" s="226" t="s">
        <v>235</v>
      </c>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row>
    <row r="344" spans="2:51" x14ac:dyDescent="0.2">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row>
    <row r="345" spans="2:51" x14ac:dyDescent="0.2">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row>
    <row r="346" spans="2:51" x14ac:dyDescent="0.2">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row>
    <row r="347" spans="2:51" x14ac:dyDescent="0.2">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row>
    <row r="348" spans="2:51" x14ac:dyDescent="0.2">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row>
    <row r="349" spans="2:51" x14ac:dyDescent="0.2">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row>
    <row r="350" spans="2:51" x14ac:dyDescent="0.2">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row>
    <row r="351" spans="2:51" x14ac:dyDescent="0.2">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row>
    <row r="352" spans="2:51" x14ac:dyDescent="0.2">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row>
    <row r="353" spans="19:51" x14ac:dyDescent="0.2">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row>
    <row r="354" spans="19:51" x14ac:dyDescent="0.2">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row>
    <row r="355" spans="19:51" x14ac:dyDescent="0.2">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row>
    <row r="356" spans="19:51" x14ac:dyDescent="0.2">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row>
    <row r="357" spans="19:51" x14ac:dyDescent="0.2">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row>
    <row r="358" spans="19:51" x14ac:dyDescent="0.2">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row>
    <row r="359" spans="19:51" x14ac:dyDescent="0.2">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row>
    <row r="360" spans="19:51" x14ac:dyDescent="0.2">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row>
    <row r="361" spans="19:51" x14ac:dyDescent="0.2">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row>
    <row r="362" spans="19:51" x14ac:dyDescent="0.2">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row>
    <row r="363" spans="19:51" x14ac:dyDescent="0.2">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row>
    <row r="364" spans="19:51" x14ac:dyDescent="0.2">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row>
    <row r="365" spans="19:51" x14ac:dyDescent="0.2">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row>
    <row r="366" spans="19:51" x14ac:dyDescent="0.2">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row>
    <row r="367" spans="19:51" x14ac:dyDescent="0.2">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row>
    <row r="368" spans="19:51" x14ac:dyDescent="0.2">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row>
    <row r="369" spans="2:51" x14ac:dyDescent="0.2">
      <c r="C369" s="216"/>
      <c r="D369" s="21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row>
    <row r="370" spans="2:51" x14ac:dyDescent="0.2">
      <c r="C370" s="216"/>
      <c r="D370" s="21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row>
    <row r="371" spans="2:51" x14ac:dyDescent="0.2">
      <c r="C371" s="216"/>
      <c r="D371" s="21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row>
    <row r="372" spans="2:51" x14ac:dyDescent="0.2">
      <c r="B372" s="226" t="s">
        <v>159</v>
      </c>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row>
    <row r="373" spans="2:51" x14ac:dyDescent="0.2">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row>
    <row r="374" spans="2:51" x14ac:dyDescent="0.2">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row>
    <row r="375" spans="2:51" x14ac:dyDescent="0.2">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row>
    <row r="376" spans="2:51" x14ac:dyDescent="0.2">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row>
    <row r="377" spans="2:51" x14ac:dyDescent="0.2">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row>
    <row r="378" spans="2:51" x14ac:dyDescent="0.2">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row>
    <row r="379" spans="2:51" x14ac:dyDescent="0.2">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row>
    <row r="380" spans="2:51" x14ac:dyDescent="0.2">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row>
    <row r="381" spans="2:51" x14ac:dyDescent="0.2">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row>
    <row r="382" spans="2:51" x14ac:dyDescent="0.2">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row>
    <row r="383" spans="2:51" x14ac:dyDescent="0.2">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row>
    <row r="384" spans="2:51" x14ac:dyDescent="0.2">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row>
    <row r="385" spans="19:51" x14ac:dyDescent="0.2">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row>
    <row r="386" spans="19:51" x14ac:dyDescent="0.2">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row>
    <row r="387" spans="19:51" x14ac:dyDescent="0.2">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row>
    <row r="388" spans="19:51" x14ac:dyDescent="0.2">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row>
    <row r="389" spans="19:51" x14ac:dyDescent="0.2">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row>
    <row r="390" spans="19:51" x14ac:dyDescent="0.2">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row>
    <row r="391" spans="19:51" x14ac:dyDescent="0.2">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row>
    <row r="392" spans="19:51" x14ac:dyDescent="0.2">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row>
    <row r="393" spans="19:51" x14ac:dyDescent="0.2">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row>
    <row r="394" spans="19:51" x14ac:dyDescent="0.2">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row>
    <row r="395" spans="19:51" x14ac:dyDescent="0.2">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row>
    <row r="396" spans="19:51" x14ac:dyDescent="0.2">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row>
    <row r="397" spans="19:51" x14ac:dyDescent="0.2">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row>
    <row r="398" spans="19:51" x14ac:dyDescent="0.2">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row>
    <row r="399" spans="19:51" x14ac:dyDescent="0.2">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row>
    <row r="400" spans="19:51" x14ac:dyDescent="0.2">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row>
    <row r="401" spans="2:51" x14ac:dyDescent="0.2">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row>
    <row r="402" spans="2:51" x14ac:dyDescent="0.2">
      <c r="D402" s="142" t="s">
        <v>129</v>
      </c>
      <c r="E402" s="142" t="s">
        <v>129</v>
      </c>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row>
    <row r="403" spans="2:51" x14ac:dyDescent="0.2">
      <c r="B403" s="144" t="s">
        <v>160</v>
      </c>
      <c r="C403" s="269"/>
      <c r="D403" s="142" t="s">
        <v>139</v>
      </c>
      <c r="E403" s="142" t="s">
        <v>130</v>
      </c>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row>
    <row r="404" spans="2:51" x14ac:dyDescent="0.2">
      <c r="B404" s="421" t="s">
        <v>153</v>
      </c>
      <c r="C404" s="141">
        <v>2018</v>
      </c>
      <c r="D404" s="38" t="e">
        <f>Grafer!F305</f>
        <v>#DIV/0!</v>
      </c>
      <c r="E404" s="38" t="e">
        <f>Grafer!I305</f>
        <v>#DIV/0!</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row>
    <row r="405" spans="2:51" x14ac:dyDescent="0.2">
      <c r="B405" s="422"/>
      <c r="C405" s="279" t="s">
        <v>236</v>
      </c>
      <c r="D405" s="38">
        <f>Grafer!N305</f>
        <v>0</v>
      </c>
      <c r="E405" s="38">
        <f>Grafer!T305</f>
        <v>0</v>
      </c>
      <c r="G405" s="139"/>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row>
    <row r="406" spans="2:51" x14ac:dyDescent="0.2">
      <c r="B406" s="421" t="s">
        <v>154</v>
      </c>
      <c r="C406" s="141">
        <v>2018</v>
      </c>
      <c r="D406" s="38" t="e">
        <f>Grafer!F306</f>
        <v>#DIV/0!</v>
      </c>
      <c r="E406" s="38" t="e">
        <f>Grafer!I306</f>
        <v>#DIV/0!</v>
      </c>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row>
    <row r="407" spans="2:51" x14ac:dyDescent="0.2">
      <c r="B407" s="422"/>
      <c r="C407" s="279" t="s">
        <v>236</v>
      </c>
      <c r="D407" s="38">
        <f>Grafer!N306</f>
        <v>0</v>
      </c>
      <c r="E407" s="38">
        <f>Grafer!T306</f>
        <v>0</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row>
    <row r="408" spans="2:51" x14ac:dyDescent="0.2">
      <c r="B408" s="421" t="s">
        <v>155</v>
      </c>
      <c r="C408" s="141">
        <v>2018</v>
      </c>
      <c r="D408" s="38" t="e">
        <f>Grafer!F307</f>
        <v>#DIV/0!</v>
      </c>
      <c r="E408" s="38" t="e">
        <f>Grafer!I307</f>
        <v>#DIV/0!</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row>
    <row r="409" spans="2:51" x14ac:dyDescent="0.2">
      <c r="B409" s="422"/>
      <c r="C409" s="279" t="s">
        <v>236</v>
      </c>
      <c r="D409" s="38">
        <f>Grafer!N307</f>
        <v>0</v>
      </c>
      <c r="E409" s="38">
        <f>Grafer!T307</f>
        <v>0</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row>
    <row r="410" spans="2:51" x14ac:dyDescent="0.2">
      <c r="B410" s="421" t="s">
        <v>156</v>
      </c>
      <c r="C410" s="141">
        <v>2018</v>
      </c>
      <c r="D410" s="38">
        <f>Grafer!F308</f>
        <v>3.9024300000000003</v>
      </c>
      <c r="E410" s="38">
        <f>Grafer!I308</f>
        <v>88.723570000000024</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row>
    <row r="411" spans="2:51" x14ac:dyDescent="0.2">
      <c r="B411" s="422"/>
      <c r="C411" s="279" t="s">
        <v>236</v>
      </c>
      <c r="D411" s="38">
        <f>Grafer!N308</f>
        <v>0</v>
      </c>
      <c r="E411" s="38">
        <f>Grafer!T308</f>
        <v>0</v>
      </c>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row>
    <row r="412" spans="2:51" x14ac:dyDescent="0.2">
      <c r="B412" s="421" t="s">
        <v>207</v>
      </c>
      <c r="C412" s="141">
        <v>2018</v>
      </c>
      <c r="D412" s="38">
        <f>Grafer!F309</f>
        <v>18.64</v>
      </c>
      <c r="E412" s="38">
        <f>Grafer!I309</f>
        <v>0</v>
      </c>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row>
    <row r="413" spans="2:51" x14ac:dyDescent="0.2">
      <c r="B413" s="422"/>
      <c r="C413" s="279" t="s">
        <v>236</v>
      </c>
      <c r="D413" s="38">
        <f>Grafer!N309</f>
        <v>0</v>
      </c>
      <c r="E413" s="38">
        <f>Grafer!T309</f>
        <v>0</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row>
    <row r="414" spans="2:51" x14ac:dyDescent="0.2">
      <c r="B414" s="421" t="s">
        <v>157</v>
      </c>
      <c r="C414" s="141">
        <v>2018</v>
      </c>
      <c r="D414" s="38">
        <f>Grafer!F310</f>
        <v>16.056524748720033</v>
      </c>
      <c r="E414" s="38">
        <f>Grafer!I310</f>
        <v>20.435576952916403</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row>
    <row r="415" spans="2:51" x14ac:dyDescent="0.2">
      <c r="B415" s="422"/>
      <c r="C415" s="279" t="s">
        <v>236</v>
      </c>
      <c r="D415" s="38">
        <f>Grafer!N310</f>
        <v>0</v>
      </c>
      <c r="E415" s="38">
        <f>Grafer!T310</f>
        <v>0</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row>
    <row r="416" spans="2:51" x14ac:dyDescent="0.2">
      <c r="B416" s="280"/>
      <c r="C416" s="281"/>
      <c r="D416" s="139"/>
      <c r="E416" s="139"/>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row>
    <row r="417" spans="2:51" x14ac:dyDescent="0.2">
      <c r="B417" s="280"/>
      <c r="C417" s="281"/>
      <c r="D417" s="139"/>
      <c r="E417" s="139"/>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row>
    <row r="418" spans="2:51" x14ac:dyDescent="0.2">
      <c r="B418" s="226" t="s">
        <v>160</v>
      </c>
      <c r="C418" s="281"/>
      <c r="D418" s="139"/>
      <c r="E418" s="139"/>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row>
    <row r="419" spans="2:51" x14ac:dyDescent="0.2">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row>
    <row r="420" spans="2:51" x14ac:dyDescent="0.2">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row>
    <row r="421" spans="2:51" x14ac:dyDescent="0.2">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row>
    <row r="422" spans="2:51" x14ac:dyDescent="0.2">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row>
    <row r="423" spans="2:51" x14ac:dyDescent="0.2">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row>
    <row r="424" spans="2:51" x14ac:dyDescent="0.2">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row>
    <row r="425" spans="2:51" x14ac:dyDescent="0.2">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row>
    <row r="426" spans="2:51" x14ac:dyDescent="0.2">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row>
    <row r="427" spans="2:51" x14ac:dyDescent="0.2">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row>
    <row r="428" spans="2:51" x14ac:dyDescent="0.2">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row>
    <row r="429" spans="2:51" x14ac:dyDescent="0.2">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row>
    <row r="430" spans="2:51" x14ac:dyDescent="0.2">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row>
    <row r="431" spans="2:51" x14ac:dyDescent="0.2">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row>
    <row r="432" spans="2:51" x14ac:dyDescent="0.2">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row>
    <row r="433" spans="2:51" x14ac:dyDescent="0.2">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row>
    <row r="434" spans="2:51" x14ac:dyDescent="0.2">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row>
    <row r="435" spans="2:51" x14ac:dyDescent="0.2">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row>
    <row r="436" spans="2:51" x14ac:dyDescent="0.2">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row>
    <row r="437" spans="2:51" x14ac:dyDescent="0.2">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row>
    <row r="438" spans="2:51" x14ac:dyDescent="0.2">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row>
    <row r="439" spans="2:51" x14ac:dyDescent="0.2">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row>
    <row r="440" spans="2:51" x14ac:dyDescent="0.2">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row>
    <row r="441" spans="2:51" x14ac:dyDescent="0.2">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row>
    <row r="442" spans="2:51" x14ac:dyDescent="0.2">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row>
    <row r="443" spans="2:51" x14ac:dyDescent="0.2">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row>
    <row r="444" spans="2:51" x14ac:dyDescent="0.2">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row>
    <row r="445" spans="2:51" x14ac:dyDescent="0.2">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row>
    <row r="446" spans="2:51" x14ac:dyDescent="0.2">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row>
    <row r="447" spans="2:51" x14ac:dyDescent="0.2">
      <c r="F447" s="4"/>
      <c r="G447" s="4"/>
      <c r="H447" s="4"/>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row>
    <row r="448" spans="2:51" x14ac:dyDescent="0.2">
      <c r="B448" s="141" t="s">
        <v>161</v>
      </c>
      <c r="C448" s="142" t="s">
        <v>129</v>
      </c>
      <c r="D448" s="142" t="s">
        <v>129</v>
      </c>
      <c r="E448" s="142" t="s">
        <v>129</v>
      </c>
      <c r="F448" s="266"/>
      <c r="G448" s="266"/>
      <c r="H448" s="26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row>
    <row r="449" spans="2:51" x14ac:dyDescent="0.2">
      <c r="B449" s="141"/>
      <c r="C449" s="141">
        <v>2018</v>
      </c>
      <c r="D449" s="141" t="s">
        <v>220</v>
      </c>
      <c r="E449" s="141" t="s">
        <v>221</v>
      </c>
      <c r="F449" s="267"/>
      <c r="G449" s="267"/>
      <c r="H449" s="267"/>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row>
    <row r="450" spans="2:51" x14ac:dyDescent="0.2">
      <c r="B450" s="38" t="s">
        <v>68</v>
      </c>
      <c r="C450" s="38">
        <f>'2018'!$X$72</f>
        <v>18.62</v>
      </c>
      <c r="D450" s="38">
        <f>'BAU2030'!$X$72</f>
        <v>17.8752</v>
      </c>
      <c r="E450" s="38">
        <f>'BAU2050'!$X$72</f>
        <v>4.0219199999999997</v>
      </c>
      <c r="F450" s="178"/>
      <c r="G450" s="178"/>
      <c r="H450" s="178"/>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row>
    <row r="451" spans="2:51" x14ac:dyDescent="0.2">
      <c r="B451" s="38" t="s">
        <v>69</v>
      </c>
      <c r="C451" s="38">
        <f>'2018'!$X$73</f>
        <v>14.66</v>
      </c>
      <c r="D451" s="38">
        <f>'BAU2030'!$X$73</f>
        <v>11.596060000000001</v>
      </c>
      <c r="E451" s="38">
        <f>'BAU2050'!$X$73</f>
        <v>2.9026799999999993</v>
      </c>
      <c r="F451" s="178"/>
      <c r="G451" s="178"/>
      <c r="H451" s="178"/>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row>
    <row r="452" spans="2:51" x14ac:dyDescent="0.2">
      <c r="B452" s="38" t="s">
        <v>121</v>
      </c>
      <c r="C452" s="38">
        <f>'2018'!$X$74</f>
        <v>14.070000000000002</v>
      </c>
      <c r="D452" s="38">
        <f>'BAU2030'!$X$74</f>
        <v>13.706994</v>
      </c>
      <c r="E452" s="38">
        <f>'BAU2050'!$X$74</f>
        <v>13.706994</v>
      </c>
      <c r="F452" s="178"/>
      <c r="G452" s="178"/>
      <c r="H452" s="178"/>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row>
    <row r="453" spans="2:51" x14ac:dyDescent="0.2">
      <c r="B453" s="38" t="s">
        <v>9</v>
      </c>
      <c r="C453" s="38">
        <f>'2018'!$X$75</f>
        <v>1.2700000000000002</v>
      </c>
      <c r="D453" s="38">
        <f>'BAU2030'!$X$75</f>
        <v>1.0863579999999999</v>
      </c>
      <c r="E453" s="38">
        <f>'BAU2050'!$X$75</f>
        <v>1.0863579999999999</v>
      </c>
      <c r="F453" s="178"/>
      <c r="G453" s="178"/>
      <c r="H453" s="178"/>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row>
    <row r="454" spans="2:51" x14ac:dyDescent="0.2">
      <c r="B454" s="38" t="s">
        <v>70</v>
      </c>
      <c r="C454" s="38">
        <f>'2018'!$X$76</f>
        <v>19.63</v>
      </c>
      <c r="D454" s="38">
        <f>'BAU2030'!$X$76</f>
        <v>18.870319000000002</v>
      </c>
      <c r="E454" s="38">
        <f>'BAU2050'!$X$76</f>
        <v>18.870319000000002</v>
      </c>
      <c r="F454" s="178"/>
      <c r="G454" s="178"/>
      <c r="H454" s="178"/>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row>
    <row r="455" spans="2:51" x14ac:dyDescent="0.2">
      <c r="B455" s="38" t="s">
        <v>10</v>
      </c>
      <c r="C455" s="38">
        <f>'2018'!$X$77</f>
        <v>7.43</v>
      </c>
      <c r="D455" s="38">
        <f>'BAU2030'!$X$77</f>
        <v>7.43</v>
      </c>
      <c r="E455" s="38">
        <f>'BAU2050'!$X$77</f>
        <v>7.43</v>
      </c>
      <c r="F455" s="178"/>
      <c r="G455" s="178"/>
      <c r="H455" s="178"/>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row>
    <row r="456" spans="2:51" x14ac:dyDescent="0.2">
      <c r="B456" s="38" t="s">
        <v>32</v>
      </c>
      <c r="C456" s="38">
        <f>'2018'!$X$78</f>
        <v>0.95</v>
      </c>
      <c r="D456" s="38">
        <f>'BAU2030'!$X$78</f>
        <v>0.28495823799999997</v>
      </c>
      <c r="E456" s="38">
        <f>'BAU2050'!$X$78</f>
        <v>0</v>
      </c>
      <c r="F456" s="178"/>
      <c r="G456" s="178"/>
      <c r="H456" s="178"/>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row>
    <row r="457" spans="2:51" x14ac:dyDescent="0.2">
      <c r="B457" s="38" t="s">
        <v>33</v>
      </c>
      <c r="C457" s="38">
        <f>'2018'!$X$79</f>
        <v>13.995000000000001</v>
      </c>
      <c r="D457" s="38">
        <f>'BAU2030'!$X$79</f>
        <v>16.327966500000002</v>
      </c>
      <c r="E457" s="38">
        <f>'BAU2050'!$X$79</f>
        <v>16.327966500000002</v>
      </c>
      <c r="F457" s="178"/>
      <c r="G457" s="178"/>
      <c r="H457" s="178"/>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row>
    <row r="458" spans="2:51" x14ac:dyDescent="0.2">
      <c r="B458" s="38" t="s">
        <v>11</v>
      </c>
      <c r="C458" s="38">
        <f>'2018'!$X$80</f>
        <v>2.0009999999999999</v>
      </c>
      <c r="D458" s="38">
        <f>'BAU2030'!$X$80</f>
        <v>1.9765878000000001</v>
      </c>
      <c r="E458" s="38">
        <f>'BAU2050'!$X$80</f>
        <v>1.9765878000000001</v>
      </c>
      <c r="F458" s="178"/>
      <c r="G458" s="178"/>
      <c r="H458" s="178"/>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row>
    <row r="459" spans="2:51" x14ac:dyDescent="0.2">
      <c r="B459" s="15" t="s">
        <v>147</v>
      </c>
      <c r="C459" s="16">
        <f>SUM(C450:C458)</f>
        <v>92.626000000000019</v>
      </c>
      <c r="D459" s="16">
        <f>SUM(D450:D458)</f>
        <v>89.15444353800001</v>
      </c>
      <c r="E459" s="16">
        <f>SUM(E450:E458)</f>
        <v>66.322825300000005</v>
      </c>
      <c r="F459" s="259"/>
      <c r="G459" s="259"/>
      <c r="H459" s="259"/>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row>
    <row r="460" spans="2:51" x14ac:dyDescent="0.2">
      <c r="B460" s="146"/>
      <c r="C460" s="146"/>
      <c r="D460" s="146"/>
      <c r="E460" s="146"/>
      <c r="F460" s="259"/>
      <c r="G460" s="4"/>
      <c r="H460" s="4"/>
      <c r="J460" s="139"/>
      <c r="K460" s="139"/>
      <c r="L460" s="139"/>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row>
    <row r="461" spans="2:51" x14ac:dyDescent="0.2">
      <c r="B461" s="146"/>
      <c r="C461" s="146"/>
      <c r="D461" s="146"/>
      <c r="E461" s="146"/>
      <c r="F461" s="14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row>
    <row r="462" spans="2:51" x14ac:dyDescent="0.2">
      <c r="B462" s="146" t="s">
        <v>162</v>
      </c>
      <c r="C462" s="146"/>
      <c r="D462" s="146"/>
      <c r="E462" s="146"/>
      <c r="F462" s="14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row>
    <row r="463" spans="2:51" x14ac:dyDescent="0.2">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row>
    <row r="464" spans="2:51" x14ac:dyDescent="0.2">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row>
    <row r="465" spans="19:51" x14ac:dyDescent="0.2">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row>
    <row r="466" spans="19:51" x14ac:dyDescent="0.2">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row>
    <row r="467" spans="19:51" x14ac:dyDescent="0.2">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row>
    <row r="468" spans="19:51" x14ac:dyDescent="0.2">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row>
    <row r="469" spans="19:51" x14ac:dyDescent="0.2">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row>
    <row r="470" spans="19:51" x14ac:dyDescent="0.2">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row>
    <row r="471" spans="19:51" x14ac:dyDescent="0.2">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row>
    <row r="472" spans="19:51" x14ac:dyDescent="0.2">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row>
    <row r="473" spans="19:51" x14ac:dyDescent="0.2">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row>
    <row r="474" spans="19:51" x14ac:dyDescent="0.2">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row>
    <row r="475" spans="19:51" x14ac:dyDescent="0.2">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row>
    <row r="476" spans="19:51" x14ac:dyDescent="0.2">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row>
    <row r="477" spans="19:51" x14ac:dyDescent="0.2">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row>
    <row r="478" spans="19:51" x14ac:dyDescent="0.2">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row>
    <row r="479" spans="19:51" x14ac:dyDescent="0.2">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row>
    <row r="480" spans="19:51" x14ac:dyDescent="0.2">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row>
    <row r="481" spans="2:51" x14ac:dyDescent="0.2">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row>
    <row r="482" spans="2:51" x14ac:dyDescent="0.2">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row>
    <row r="483" spans="2:51" x14ac:dyDescent="0.2">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row>
    <row r="484" spans="2:51" x14ac:dyDescent="0.2">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row>
    <row r="485" spans="2:51" x14ac:dyDescent="0.2">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row>
    <row r="486" spans="2:51" x14ac:dyDescent="0.2">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row>
    <row r="487" spans="2:51" x14ac:dyDescent="0.2">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row>
    <row r="488" spans="2:51" x14ac:dyDescent="0.2">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row>
    <row r="489" spans="2:51" x14ac:dyDescent="0.2">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row>
    <row r="490" spans="2:51" x14ac:dyDescent="0.2">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row>
    <row r="491" spans="2:51" x14ac:dyDescent="0.2">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row>
    <row r="492" spans="2:51" x14ac:dyDescent="0.2">
      <c r="B492" s="146" t="s">
        <v>234</v>
      </c>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row>
    <row r="493" spans="2:51" x14ac:dyDescent="0.2">
      <c r="C493" s="146"/>
      <c r="D493" s="146"/>
      <c r="J493" s="4"/>
      <c r="K493" s="4"/>
      <c r="L493" s="4"/>
      <c r="M493" s="4"/>
      <c r="N493" s="4"/>
      <c r="O493" s="4"/>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row>
    <row r="494" spans="2:51" x14ac:dyDescent="0.2">
      <c r="B494" s="226"/>
      <c r="C494" s="146"/>
      <c r="D494" s="146"/>
      <c r="J494" s="4"/>
      <c r="K494" s="4"/>
      <c r="L494" s="4"/>
      <c r="M494" s="4"/>
      <c r="N494" s="4"/>
      <c r="O494" s="4"/>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row>
    <row r="495" spans="2:51" x14ac:dyDescent="0.2">
      <c r="B495" s="226"/>
      <c r="C495" s="146"/>
      <c r="D495" s="14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row>
    <row r="496" spans="2:51" x14ac:dyDescent="0.2">
      <c r="B496" s="226"/>
      <c r="C496" s="146"/>
      <c r="D496" s="14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row>
    <row r="497" spans="2:51" x14ac:dyDescent="0.2">
      <c r="B497" s="226"/>
      <c r="C497" s="146"/>
      <c r="D497" s="14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row>
    <row r="498" spans="2:51" x14ac:dyDescent="0.2">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row>
    <row r="499" spans="2:51" x14ac:dyDescent="0.2">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row>
    <row r="500" spans="2:51" x14ac:dyDescent="0.2">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row>
    <row r="501" spans="2:51" x14ac:dyDescent="0.2">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row>
    <row r="502" spans="2:51" x14ac:dyDescent="0.2">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row>
    <row r="503" spans="2:51" x14ac:dyDescent="0.2">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row>
    <row r="504" spans="2:51" x14ac:dyDescent="0.2">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row>
    <row r="505" spans="2:51" x14ac:dyDescent="0.2">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row>
    <row r="506" spans="2:51" x14ac:dyDescent="0.2">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row>
    <row r="507" spans="2:51" x14ac:dyDescent="0.2">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row>
    <row r="508" spans="2:51" x14ac:dyDescent="0.2">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row>
    <row r="509" spans="2:51" x14ac:dyDescent="0.2">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row>
    <row r="510" spans="2:51" x14ac:dyDescent="0.2">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row>
    <row r="511" spans="2:51" x14ac:dyDescent="0.2">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row>
    <row r="512" spans="2:51" x14ac:dyDescent="0.2">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row>
    <row r="513" spans="2:51" x14ac:dyDescent="0.2">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row>
    <row r="514" spans="2:51" x14ac:dyDescent="0.2">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row>
    <row r="515" spans="2:51" x14ac:dyDescent="0.2">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row>
    <row r="516" spans="2:51" x14ac:dyDescent="0.2">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row>
    <row r="517" spans="2:51" x14ac:dyDescent="0.2">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row>
    <row r="518" spans="2:51" x14ac:dyDescent="0.2">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row>
    <row r="519" spans="2:51" x14ac:dyDescent="0.2">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row>
    <row r="520" spans="2:51" x14ac:dyDescent="0.2">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row>
    <row r="521" spans="2:51" x14ac:dyDescent="0.2">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row>
    <row r="522" spans="2:51" x14ac:dyDescent="0.2">
      <c r="B522" s="146" t="s">
        <v>225</v>
      </c>
      <c r="C522" s="146"/>
      <c r="D522" s="146"/>
      <c r="E522" s="146"/>
      <c r="F522" s="14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row>
    <row r="523" spans="2:51" x14ac:dyDescent="0.2">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row>
    <row r="524" spans="2:51" x14ac:dyDescent="0.2">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row>
    <row r="525" spans="2:51" x14ac:dyDescent="0.2">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row>
    <row r="526" spans="2:51" x14ac:dyDescent="0.2">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row>
    <row r="527" spans="2:51" x14ac:dyDescent="0.2">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row>
    <row r="528" spans="2:51" x14ac:dyDescent="0.2">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row>
    <row r="529" spans="19:51" x14ac:dyDescent="0.2">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row>
    <row r="530" spans="19:51" x14ac:dyDescent="0.2">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row>
    <row r="531" spans="19:51" x14ac:dyDescent="0.2">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row>
    <row r="532" spans="19:51" x14ac:dyDescent="0.2">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row>
    <row r="533" spans="19:51" x14ac:dyDescent="0.2">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row>
    <row r="534" spans="19:51" x14ac:dyDescent="0.2">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row>
    <row r="535" spans="19:51" x14ac:dyDescent="0.2">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row>
    <row r="536" spans="19:51" x14ac:dyDescent="0.2">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row>
    <row r="537" spans="19:51" x14ac:dyDescent="0.2">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row>
    <row r="538" spans="19:51" x14ac:dyDescent="0.2">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row>
    <row r="539" spans="19:51" x14ac:dyDescent="0.2">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row>
    <row r="540" spans="19:51" x14ac:dyDescent="0.2">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row>
    <row r="541" spans="19:51" x14ac:dyDescent="0.2">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row>
    <row r="542" spans="19:51" x14ac:dyDescent="0.2">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row>
    <row r="543" spans="19:51" x14ac:dyDescent="0.2">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row>
    <row r="544" spans="19:51" x14ac:dyDescent="0.2">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row>
    <row r="545" spans="1:51" x14ac:dyDescent="0.2">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row>
    <row r="546" spans="1:51" x14ac:dyDescent="0.2">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row>
    <row r="547" spans="1:51" x14ac:dyDescent="0.2">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row>
    <row r="548" spans="1:51" x14ac:dyDescent="0.2">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row>
    <row r="549" spans="1:51" x14ac:dyDescent="0.2">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row>
    <row r="550" spans="1:51" x14ac:dyDescent="0.2">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row>
    <row r="551" spans="1:51" x14ac:dyDescent="0.2">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row>
    <row r="552" spans="1:51" ht="33.75" customHeight="1" x14ac:dyDescent="0.2">
      <c r="A552" s="6"/>
      <c r="B552" s="282" t="s">
        <v>163</v>
      </c>
      <c r="C552" s="283"/>
      <c r="D552" s="283"/>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row>
    <row r="553" spans="1:51" x14ac:dyDescent="0.2">
      <c r="B553" s="226"/>
      <c r="C553" s="146"/>
      <c r="D553" s="14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row>
    <row r="554" spans="1:51" x14ac:dyDescent="0.2">
      <c r="B554" s="226"/>
      <c r="C554" s="146"/>
      <c r="D554" s="14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row>
    <row r="555" spans="1:51" x14ac:dyDescent="0.2">
      <c r="B555" s="226"/>
      <c r="C555" s="146"/>
      <c r="D555" s="14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row>
    <row r="556" spans="1:51" x14ac:dyDescent="0.2">
      <c r="B556" s="226"/>
      <c r="C556" s="146"/>
      <c r="D556" s="14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row>
    <row r="557" spans="1:51" x14ac:dyDescent="0.2">
      <c r="B557" s="226"/>
      <c r="C557" s="146"/>
      <c r="D557" s="14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row>
    <row r="558" spans="1:51" x14ac:dyDescent="0.2">
      <c r="B558" s="226"/>
      <c r="C558" s="146"/>
      <c r="D558" s="14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row>
    <row r="559" spans="1:51" x14ac:dyDescent="0.2">
      <c r="B559" s="226"/>
      <c r="C559" s="146"/>
      <c r="D559" s="14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row>
    <row r="560" spans="1:51" x14ac:dyDescent="0.2">
      <c r="B560" s="226"/>
      <c r="C560" s="146"/>
      <c r="D560" s="14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row>
    <row r="561" spans="1:51" x14ac:dyDescent="0.2">
      <c r="B561" s="226"/>
      <c r="C561" s="146"/>
      <c r="D561" s="14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row>
    <row r="562" spans="1:51" ht="14.25" x14ac:dyDescent="0.25">
      <c r="B562" s="265" t="s">
        <v>164</v>
      </c>
      <c r="C562" s="142" t="s">
        <v>165</v>
      </c>
      <c r="D562" s="142" t="s">
        <v>165</v>
      </c>
      <c r="E562" s="142" t="s">
        <v>165</v>
      </c>
      <c r="F562" s="266"/>
      <c r="G562" s="266"/>
      <c r="H562" s="266"/>
      <c r="I562" s="156"/>
      <c r="J562" s="156"/>
      <c r="K562" s="156"/>
      <c r="S562" s="6"/>
      <c r="T562" s="6"/>
      <c r="U562" s="7"/>
      <c r="V562" s="7"/>
      <c r="W562" s="7"/>
      <c r="X562" s="7"/>
      <c r="Y562" s="7"/>
      <c r="Z562" s="7"/>
      <c r="AA562" s="7"/>
      <c r="AB562" s="7"/>
      <c r="AC562" s="7"/>
      <c r="AD562" s="7"/>
      <c r="AE562" s="6"/>
      <c r="AF562" s="6"/>
      <c r="AG562" s="6"/>
      <c r="AH562" s="6"/>
      <c r="AI562" s="6"/>
      <c r="AJ562" s="6"/>
      <c r="AK562" s="6"/>
      <c r="AL562" s="6"/>
      <c r="AM562" s="6"/>
      <c r="AN562" s="6"/>
      <c r="AO562" s="6"/>
      <c r="AP562" s="6"/>
      <c r="AQ562" s="6"/>
      <c r="AR562" s="6"/>
      <c r="AS562" s="6"/>
      <c r="AT562" s="6"/>
      <c r="AU562" s="6"/>
      <c r="AV562" s="6"/>
      <c r="AW562" s="6"/>
      <c r="AX562" s="6"/>
      <c r="AY562" s="6"/>
    </row>
    <row r="563" spans="1:51" x14ac:dyDescent="0.2">
      <c r="B563" s="145"/>
      <c r="C563" s="141">
        <v>2018</v>
      </c>
      <c r="D563" s="141" t="s">
        <v>220</v>
      </c>
      <c r="E563" s="141" t="s">
        <v>221</v>
      </c>
      <c r="F563" s="267"/>
      <c r="G563" s="267"/>
      <c r="H563" s="267"/>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row>
    <row r="564" spans="1:51" x14ac:dyDescent="0.2">
      <c r="B564" s="145" t="s">
        <v>34</v>
      </c>
      <c r="C564" s="38">
        <f>'2018'!$A$82</f>
        <v>4.5293996632071147</v>
      </c>
      <c r="D564" s="38">
        <f>'BAU2030'!$A$82</f>
        <v>0</v>
      </c>
      <c r="E564" s="38">
        <f>'BAU2050'!$A$82</f>
        <v>0</v>
      </c>
      <c r="F564" s="178"/>
      <c r="G564" s="178"/>
      <c r="H564" s="178"/>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row>
    <row r="565" spans="1:51" ht="12.75" customHeight="1" x14ac:dyDescent="0.2">
      <c r="A565" s="423" t="s">
        <v>166</v>
      </c>
      <c r="B565" s="145" t="s">
        <v>132</v>
      </c>
      <c r="C565" s="38">
        <f>'2018'!$C$82</f>
        <v>0</v>
      </c>
      <c r="D565" s="38">
        <f>'BAU2030'!$C$82</f>
        <v>0</v>
      </c>
      <c r="E565" s="38">
        <f>'BAU2050'!$C$82</f>
        <v>0</v>
      </c>
      <c r="F565" s="178"/>
      <c r="G565" s="178"/>
      <c r="H565" s="178"/>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row>
    <row r="566" spans="1:51" x14ac:dyDescent="0.2">
      <c r="A566" s="424"/>
      <c r="B566" s="145" t="s">
        <v>133</v>
      </c>
      <c r="C566" s="38">
        <f>'2018'!$I$82+'2018'!$B$82</f>
        <v>5.6159000000000001E-2</v>
      </c>
      <c r="D566" s="38">
        <f>'BAU2030'!$I$82+'BAU2030'!$B$82</f>
        <v>5.6159000000000001E-2</v>
      </c>
      <c r="E566" s="38">
        <f>'BAU2050'!$I$82+'BAU2050'!$B$82</f>
        <v>5.6159000000000001E-2</v>
      </c>
      <c r="F566" s="178"/>
      <c r="G566" s="178"/>
      <c r="H566" s="178"/>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row>
    <row r="567" spans="1:51" x14ac:dyDescent="0.2">
      <c r="A567" s="424"/>
      <c r="B567" s="145" t="s">
        <v>134</v>
      </c>
      <c r="C567" s="38">
        <f>'2018'!$D$82</f>
        <v>7.887999999999999E-5</v>
      </c>
      <c r="D567" s="38">
        <f>'BAU2030'!$D$82</f>
        <v>7.7917663999999996E-5</v>
      </c>
      <c r="E567" s="38">
        <f>'BAU2050'!$D$82</f>
        <v>7.7917663999999996E-5</v>
      </c>
      <c r="F567" s="178"/>
      <c r="G567" s="178"/>
      <c r="H567" s="178"/>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row>
    <row r="568" spans="1:51" x14ac:dyDescent="0.2">
      <c r="A568" s="424"/>
      <c r="B568" s="145" t="s">
        <v>135</v>
      </c>
      <c r="C568" s="38">
        <f>'2018'!$E$82+'2018'!$F$82</f>
        <v>6.0630264599999997</v>
      </c>
      <c r="D568" s="38">
        <f>'BAU2030'!$E$82+'BAU2030'!$F$82</f>
        <v>4.4248688978780004</v>
      </c>
      <c r="E568" s="38">
        <f>'BAU2050'!$E$82+'BAU2050'!$F$82</f>
        <v>3.2700306655859999</v>
      </c>
      <c r="F568" s="178"/>
      <c r="G568" s="178"/>
      <c r="H568" s="178"/>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row>
    <row r="569" spans="1:51" x14ac:dyDescent="0.2">
      <c r="A569" s="424"/>
      <c r="B569" s="145" t="s">
        <v>136</v>
      </c>
      <c r="C569" s="38">
        <f>'2018'!$G$82</f>
        <v>1.0065600000000001</v>
      </c>
      <c r="D569" s="38">
        <f>'BAU2030'!$G$82</f>
        <v>1.1743535520000001</v>
      </c>
      <c r="E569" s="38">
        <f>'BAU2050'!$G$82</f>
        <v>1.1743535520000001</v>
      </c>
      <c r="F569" s="178"/>
      <c r="G569" s="178"/>
      <c r="H569" s="178"/>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row>
    <row r="570" spans="1:51" x14ac:dyDescent="0.2">
      <c r="A570" s="424"/>
      <c r="B570" s="145" t="s">
        <v>137</v>
      </c>
      <c r="C570" s="38">
        <f>'2018'!$H$82</f>
        <v>1.31821794</v>
      </c>
      <c r="D570" s="38">
        <f>'BAU2030'!$H$82</f>
        <v>1.2311359845000003</v>
      </c>
      <c r="E570" s="38">
        <f>'BAU2050'!$H$82</f>
        <v>0.27799568729999996</v>
      </c>
      <c r="F570" s="178"/>
      <c r="G570" s="178"/>
      <c r="H570" s="178"/>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row>
    <row r="571" spans="1:51" x14ac:dyDescent="0.2">
      <c r="A571" s="425"/>
      <c r="B571" s="145" t="s">
        <v>138</v>
      </c>
      <c r="C571" s="38">
        <f>'2018'!$W$82</f>
        <v>0</v>
      </c>
      <c r="D571" s="38">
        <f>'BAU2030'!$W$82</f>
        <v>0</v>
      </c>
      <c r="E571" s="38">
        <f>'BAU2050'!$W$82</f>
        <v>0</v>
      </c>
      <c r="F571" s="178"/>
      <c r="G571" s="178"/>
      <c r="H571" s="178"/>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row>
    <row r="572" spans="1:51" ht="12.75" customHeight="1" x14ac:dyDescent="0.2">
      <c r="A572" s="423" t="s">
        <v>139</v>
      </c>
      <c r="B572" s="145" t="s">
        <v>140</v>
      </c>
      <c r="C572" s="38">
        <f>'2018'!$U$82</f>
        <v>0</v>
      </c>
      <c r="D572" s="38">
        <f>'BAU2030'!$U$82</f>
        <v>0</v>
      </c>
      <c r="E572" s="38">
        <f>'BAU2050'!$U$82</f>
        <v>0</v>
      </c>
      <c r="F572" s="178"/>
      <c r="G572" s="178"/>
      <c r="H572" s="178"/>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row>
    <row r="573" spans="1:51" x14ac:dyDescent="0.2">
      <c r="A573" s="424"/>
      <c r="B573" s="145" t="s">
        <v>141</v>
      </c>
      <c r="C573" s="38">
        <f>'2018'!$P$82+'2018'!$Q$82+'2018'!$R$82+'2018'!$S$82</f>
        <v>0</v>
      </c>
      <c r="D573" s="38">
        <f>'BAU2030'!$P$82+'BAU2030'!$Q$82+'BAU2030'!$R$82+'BAU2030'!$S$82</f>
        <v>0</v>
      </c>
      <c r="E573" s="38">
        <f>'BAU2050'!$P$82+'BAU2050'!$Q$82+'BAU2050'!$R$82+'BAU2050'!$S$82</f>
        <v>0</v>
      </c>
      <c r="F573" s="178"/>
      <c r="G573" s="178"/>
      <c r="H573" s="178"/>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row>
    <row r="574" spans="1:51" x14ac:dyDescent="0.2">
      <c r="A574" s="424"/>
      <c r="B574" s="145" t="s">
        <v>142</v>
      </c>
      <c r="C574" s="38">
        <f>'2018'!$J$82</f>
        <v>0</v>
      </c>
      <c r="D574" s="38">
        <f>'BAU2030'!$J$82</f>
        <v>0</v>
      </c>
      <c r="E574" s="38">
        <f>'BAU2050'!$J$82</f>
        <v>0</v>
      </c>
      <c r="F574" s="178"/>
      <c r="G574" s="178"/>
      <c r="H574" s="178"/>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row>
    <row r="575" spans="1:51" x14ac:dyDescent="0.2">
      <c r="A575" s="424"/>
      <c r="B575" s="145" t="s">
        <v>143</v>
      </c>
      <c r="C575" s="38">
        <f>'2018'!$O$82+'2018'!$T$82+'2018'!$V$82</f>
        <v>0</v>
      </c>
      <c r="D575" s="38">
        <f>'BAU2030'!$O$82+'BAU2030'!$T$82+'BAU2030'!$V$82</f>
        <v>0</v>
      </c>
      <c r="E575" s="38">
        <f>'BAU2050'!$O$82+'BAU2050'!$T$82+'BAU2050'!$V$82</f>
        <v>0</v>
      </c>
      <c r="F575" s="178"/>
      <c r="G575" s="178"/>
      <c r="H575" s="178"/>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row>
    <row r="576" spans="1:51" x14ac:dyDescent="0.2">
      <c r="A576" s="424"/>
      <c r="B576" s="145" t="s">
        <v>144</v>
      </c>
      <c r="C576" s="38">
        <f>'2018'!$L$82</f>
        <v>0</v>
      </c>
      <c r="D576" s="38">
        <f>'BAU2030'!$L$82</f>
        <v>0</v>
      </c>
      <c r="E576" s="38">
        <f>'BAU2050'!$L$82</f>
        <v>0</v>
      </c>
      <c r="F576" s="178"/>
      <c r="G576" s="178"/>
      <c r="H576" s="178"/>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row>
    <row r="577" spans="1:51" x14ac:dyDescent="0.2">
      <c r="A577" s="425"/>
      <c r="B577" s="145" t="s">
        <v>145</v>
      </c>
      <c r="C577" s="38">
        <f>'2018'!$K$82+'2018'!$M$82+'2018'!$N$82</f>
        <v>0</v>
      </c>
      <c r="D577" s="38">
        <f>'BAU2030'!$K$82+'BAU2030'!$M$82+'BAU2030'!$N$82</f>
        <v>0</v>
      </c>
      <c r="E577" s="38">
        <f>'BAU2050'!$K$82+'BAU2050'!$M$82+'BAU2050'!$N$82</f>
        <v>0</v>
      </c>
      <c r="F577" s="178"/>
      <c r="G577" s="178"/>
      <c r="H577" s="178"/>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row>
    <row r="578" spans="1:51" x14ac:dyDescent="0.2">
      <c r="B578" s="15" t="s">
        <v>147</v>
      </c>
      <c r="C578" s="16">
        <f>SUM(C564:C577)</f>
        <v>12.973441943207115</v>
      </c>
      <c r="D578" s="16">
        <f>SUM(D564:D577)</f>
        <v>6.8865953520420007</v>
      </c>
      <c r="E578" s="16">
        <f>SUM(E564:E577)</f>
        <v>4.7786168225500001</v>
      </c>
      <c r="F578" s="259"/>
      <c r="G578" s="259"/>
      <c r="H578" s="259"/>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row>
    <row r="579" spans="1:51" x14ac:dyDescent="0.2">
      <c r="B579" s="226"/>
      <c r="C579" s="146"/>
      <c r="D579" s="14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row>
    <row r="580" spans="1:51" x14ac:dyDescent="0.2">
      <c r="B580" s="226"/>
      <c r="C580" s="146"/>
      <c r="D580" s="14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row>
    <row r="581" spans="1:51" ht="14.25" x14ac:dyDescent="0.25">
      <c r="B581" s="226" t="s">
        <v>164</v>
      </c>
      <c r="C581" s="146"/>
      <c r="D581" s="14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row>
    <row r="582" spans="1:51" x14ac:dyDescent="0.2">
      <c r="B582" s="226"/>
      <c r="C582" s="146"/>
      <c r="D582" s="14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row>
    <row r="583" spans="1:51" x14ac:dyDescent="0.2">
      <c r="B583" s="226"/>
      <c r="C583" s="146"/>
      <c r="D583" s="14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row>
    <row r="584" spans="1:51" x14ac:dyDescent="0.2">
      <c r="B584" s="226"/>
      <c r="C584" s="146"/>
      <c r="D584" s="14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row>
    <row r="585" spans="1:51" x14ac:dyDescent="0.2">
      <c r="B585" s="226"/>
      <c r="C585" s="146"/>
      <c r="D585" s="14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row>
    <row r="586" spans="1:51" x14ac:dyDescent="0.2">
      <c r="B586" s="226"/>
      <c r="C586" s="146"/>
      <c r="D586" s="14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row>
    <row r="587" spans="1:51" x14ac:dyDescent="0.2">
      <c r="B587" s="226"/>
      <c r="C587" s="146"/>
      <c r="D587" s="14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row>
    <row r="588" spans="1:51" x14ac:dyDescent="0.2">
      <c r="B588" s="226"/>
      <c r="C588" s="146"/>
      <c r="D588" s="14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row>
    <row r="589" spans="1:51" x14ac:dyDescent="0.2">
      <c r="B589" s="226"/>
      <c r="C589" s="146"/>
      <c r="D589" s="14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row>
    <row r="590" spans="1:51" x14ac:dyDescent="0.2">
      <c r="B590" s="226"/>
      <c r="C590" s="146"/>
      <c r="D590" s="14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row>
    <row r="591" spans="1:51" x14ac:dyDescent="0.2">
      <c r="B591" s="226"/>
      <c r="C591" s="146"/>
      <c r="D591" s="14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row>
    <row r="592" spans="1:51" x14ac:dyDescent="0.2">
      <c r="B592" s="226"/>
      <c r="C592" s="146"/>
      <c r="D592" s="14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row>
    <row r="593" spans="2:51" x14ac:dyDescent="0.2">
      <c r="B593" s="226"/>
      <c r="C593" s="146"/>
      <c r="D593" s="14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row>
    <row r="594" spans="2:51" x14ac:dyDescent="0.2">
      <c r="B594" s="226"/>
      <c r="C594" s="146"/>
      <c r="D594" s="14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row>
    <row r="595" spans="2:51" x14ac:dyDescent="0.2">
      <c r="B595" s="226"/>
      <c r="C595" s="146"/>
      <c r="D595" s="14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row>
    <row r="596" spans="2:51" x14ac:dyDescent="0.2">
      <c r="B596" s="226"/>
      <c r="C596" s="146"/>
      <c r="D596" s="14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row>
    <row r="597" spans="2:51" x14ac:dyDescent="0.2">
      <c r="B597" s="226"/>
      <c r="C597" s="146"/>
      <c r="D597" s="14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row>
    <row r="598" spans="2:51" x14ac:dyDescent="0.2">
      <c r="B598" s="226"/>
      <c r="C598" s="146"/>
      <c r="D598" s="14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row>
    <row r="599" spans="2:51" x14ac:dyDescent="0.2">
      <c r="B599" s="226"/>
      <c r="C599" s="146"/>
      <c r="D599" s="14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row>
    <row r="600" spans="2:51" x14ac:dyDescent="0.2">
      <c r="B600" s="226"/>
      <c r="C600" s="146"/>
      <c r="D600" s="14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row>
    <row r="601" spans="2:51" x14ac:dyDescent="0.2">
      <c r="B601" s="226"/>
      <c r="C601" s="146"/>
      <c r="D601" s="14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row>
    <row r="602" spans="2:51" x14ac:dyDescent="0.2">
      <c r="B602" s="226"/>
      <c r="C602" s="146"/>
      <c r="D602" s="14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row>
    <row r="603" spans="2:51" x14ac:dyDescent="0.2">
      <c r="B603" s="226"/>
      <c r="C603" s="146"/>
      <c r="D603" s="14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row>
    <row r="604" spans="2:51" x14ac:dyDescent="0.2">
      <c r="B604" s="226"/>
      <c r="C604" s="146"/>
      <c r="D604" s="14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row>
    <row r="605" spans="2:51" x14ac:dyDescent="0.2">
      <c r="B605" s="226"/>
      <c r="C605" s="146"/>
      <c r="D605" s="14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row>
    <row r="606" spans="2:51" x14ac:dyDescent="0.2">
      <c r="B606" s="226"/>
      <c r="C606" s="146"/>
      <c r="D606" s="14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row>
    <row r="607" spans="2:51" x14ac:dyDescent="0.2">
      <c r="B607" s="226"/>
      <c r="C607" s="146"/>
      <c r="D607" s="14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row>
    <row r="608" spans="2:51" x14ac:dyDescent="0.2">
      <c r="B608" s="226"/>
      <c r="C608" s="146"/>
      <c r="D608" s="14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row>
    <row r="609" spans="2:51" x14ac:dyDescent="0.2">
      <c r="B609" s="226"/>
      <c r="C609" s="146"/>
      <c r="D609" s="14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row>
    <row r="610" spans="2:51" x14ac:dyDescent="0.2">
      <c r="B610" s="226"/>
      <c r="C610" s="146"/>
      <c r="D610" s="14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row>
    <row r="611" spans="2:51" ht="14.25" x14ac:dyDescent="0.25">
      <c r="B611" s="226" t="s">
        <v>226</v>
      </c>
      <c r="C611" s="146"/>
      <c r="D611" s="14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row>
    <row r="612" spans="2:51" x14ac:dyDescent="0.2">
      <c r="C612" s="146"/>
      <c r="D612" s="14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row>
    <row r="613" spans="2:51" x14ac:dyDescent="0.2">
      <c r="B613" s="226"/>
      <c r="C613" s="146"/>
      <c r="D613" s="14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row>
    <row r="614" spans="2:51" x14ac:dyDescent="0.2">
      <c r="B614" s="226"/>
      <c r="C614" s="146"/>
      <c r="D614" s="14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row>
    <row r="615" spans="2:51" x14ac:dyDescent="0.2">
      <c r="B615" s="226"/>
      <c r="C615" s="146"/>
      <c r="D615" s="14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row>
    <row r="616" spans="2:51" x14ac:dyDescent="0.2">
      <c r="B616" s="226"/>
      <c r="C616" s="146"/>
      <c r="D616" s="14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row>
    <row r="617" spans="2:51" x14ac:dyDescent="0.2">
      <c r="B617" s="226"/>
      <c r="C617" s="146"/>
      <c r="D617" s="14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row>
    <row r="618" spans="2:51" x14ac:dyDescent="0.2">
      <c r="B618" s="226"/>
      <c r="C618" s="146"/>
      <c r="D618" s="14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row>
    <row r="619" spans="2:51" x14ac:dyDescent="0.2">
      <c r="B619" s="226"/>
      <c r="C619" s="146"/>
      <c r="D619" s="14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row>
    <row r="620" spans="2:51" x14ac:dyDescent="0.2">
      <c r="B620" s="226"/>
      <c r="C620" s="146"/>
      <c r="D620" s="14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row>
    <row r="621" spans="2:51" x14ac:dyDescent="0.2">
      <c r="B621" s="226"/>
      <c r="C621" s="146"/>
      <c r="D621" s="14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row>
    <row r="622" spans="2:51" x14ac:dyDescent="0.2">
      <c r="B622" s="226"/>
      <c r="C622" s="146"/>
      <c r="D622" s="14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row>
    <row r="623" spans="2:51" x14ac:dyDescent="0.2">
      <c r="B623" s="226"/>
      <c r="C623" s="146"/>
      <c r="D623" s="14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row>
    <row r="624" spans="2:51" x14ac:dyDescent="0.2">
      <c r="B624" s="226"/>
      <c r="C624" s="146"/>
      <c r="D624" s="14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row>
    <row r="625" spans="2:51" x14ac:dyDescent="0.2">
      <c r="B625" s="226"/>
      <c r="C625" s="146"/>
      <c r="D625" s="14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row>
    <row r="626" spans="2:51" x14ac:dyDescent="0.2">
      <c r="B626" s="226"/>
      <c r="C626" s="146"/>
      <c r="D626" s="14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row>
    <row r="627" spans="2:51" x14ac:dyDescent="0.2">
      <c r="B627" s="226"/>
      <c r="C627" s="146"/>
      <c r="D627" s="14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row>
    <row r="628" spans="2:51" x14ac:dyDescent="0.2">
      <c r="B628" s="226"/>
      <c r="C628" s="146"/>
      <c r="D628" s="14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row>
    <row r="629" spans="2:51" x14ac:dyDescent="0.2">
      <c r="B629" s="226"/>
      <c r="C629" s="146"/>
      <c r="D629" s="14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row>
    <row r="630" spans="2:51" x14ac:dyDescent="0.2">
      <c r="B630" s="226"/>
      <c r="C630" s="146"/>
      <c r="D630" s="14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row>
    <row r="631" spans="2:51" x14ac:dyDescent="0.2">
      <c r="B631" s="226"/>
      <c r="C631" s="146"/>
      <c r="D631" s="14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row>
    <row r="632" spans="2:51" x14ac:dyDescent="0.2">
      <c r="B632" s="226"/>
      <c r="C632" s="146"/>
      <c r="D632" s="14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row>
    <row r="633" spans="2:51" x14ac:dyDescent="0.2">
      <c r="B633" s="226"/>
      <c r="C633" s="146"/>
      <c r="D633" s="14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row>
    <row r="634" spans="2:51" x14ac:dyDescent="0.2">
      <c r="B634" s="226"/>
      <c r="C634" s="146"/>
      <c r="D634" s="14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row>
    <row r="635" spans="2:51" x14ac:dyDescent="0.2">
      <c r="B635" s="226"/>
      <c r="C635" s="146"/>
      <c r="D635" s="14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row>
    <row r="636" spans="2:51" x14ac:dyDescent="0.2">
      <c r="B636" s="226"/>
      <c r="C636" s="146"/>
      <c r="D636" s="14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row>
    <row r="637" spans="2:51" x14ac:dyDescent="0.2">
      <c r="B637" s="226"/>
      <c r="C637" s="146"/>
      <c r="D637" s="14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row>
    <row r="638" spans="2:51" x14ac:dyDescent="0.2">
      <c r="B638" s="226"/>
      <c r="C638" s="146"/>
      <c r="D638" s="14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row>
    <row r="639" spans="2:51" x14ac:dyDescent="0.2">
      <c r="B639" s="226"/>
      <c r="C639" s="146"/>
      <c r="D639" s="14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row>
    <row r="640" spans="2:51" x14ac:dyDescent="0.2">
      <c r="B640" s="226"/>
      <c r="C640" s="146"/>
      <c r="D640" s="14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row>
    <row r="641" spans="2:51" ht="14.25" x14ac:dyDescent="0.25">
      <c r="B641" s="141" t="s">
        <v>167</v>
      </c>
      <c r="C641" s="142" t="s">
        <v>165</v>
      </c>
      <c r="D641" s="142" t="s">
        <v>165</v>
      </c>
      <c r="E641" s="142" t="s">
        <v>165</v>
      </c>
      <c r="F641" s="266"/>
      <c r="G641" s="266"/>
      <c r="H641" s="26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row>
    <row r="642" spans="2:51" x14ac:dyDescent="0.2">
      <c r="B642" s="145"/>
      <c r="C642" s="141">
        <v>2018</v>
      </c>
      <c r="D642" s="141" t="s">
        <v>220</v>
      </c>
      <c r="E642" s="141" t="s">
        <v>221</v>
      </c>
      <c r="F642" s="267"/>
      <c r="G642" s="267"/>
      <c r="H642" s="267"/>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row>
    <row r="643" spans="2:51" x14ac:dyDescent="0.2">
      <c r="B643" s="145" t="s">
        <v>153</v>
      </c>
      <c r="C643" s="18">
        <f>('2018'!$X$17*'2018'!$E$89+(IF(SUM('2018'!$I$33:$I$71)=0,0,'2018'!$X$18-('2018'!$I$16+'2018'!$I$18)/('2018'!$I$16+'2018'!$I$18+'2018'!$I$24+SUM('2018'!$I$33:$I$71))*SUM('2018'!$L$31:$V$31)))*'2018'!$I$89)/1000</f>
        <v>1.8314999999999999</v>
      </c>
      <c r="D643" s="18">
        <f>('BAU2030'!$X$17*'BAU2030'!$E$89+(IF(SUM('BAU2030'!$I$33:$I$71)=0,0,'BAU2030'!$X$18-('BAU2030'!$I$16+'BAU2030'!$I$18)/('BAU2030'!$I$16+'BAU2030'!$I$18+'BAU2030'!$I$24+SUM('BAU2030'!$I$33:$I$71))*SUM('BAU2030'!$L$31:$V$31)))*'BAU2030'!$I$89)/1000</f>
        <v>0.52747199999999994</v>
      </c>
      <c r="E643" s="18">
        <f>('BAU2050'!$X$17*'BAU2050'!$E$89+(IF(SUM('BAU2050'!$I$33:$I$71)=0,0,'BAU2050'!$X$18-('BAU2050'!$I$16+'BAU2050'!$I$18)/('BAU2050'!$I$16+'BAU2050'!$I$18+'BAU2050'!$I$24+SUM('BAU2050'!$I$33:$I$71))*SUM('BAU2050'!$L$31:$V$31)))*'BAU2050'!$I$89)/1000</f>
        <v>0</v>
      </c>
      <c r="F643" s="284"/>
      <c r="G643" s="284"/>
      <c r="H643" s="284"/>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row>
    <row r="644" spans="2:51" x14ac:dyDescent="0.2">
      <c r="B644" s="145" t="s">
        <v>154</v>
      </c>
      <c r="C644" s="38">
        <f>(SUM('2018'!$B$33:$B$62)*'2018'!$B$89+SUM('2018'!$C$33:$C$62)*'2018'!$C$89+SUM('2018'!$D$33:$D$62)*'2018'!$D$89+SUM('2018'!$E$33:$E$62)*'2018'!$E$89+SUM('2018'!$F$33:$F$62)*'2018'!$F$89+SUM('2018'!$G$33:$G$62)*'2018'!$G$89+SUM('2018'!$H$33:$H$62)*'2018'!$H$89+(IF(SUM('2018'!$I$33:$I$71)=0,0,SUM('2018'!$I$33:$I$62)-SUM('2018'!$I$33:$I$71)/('2018'!$I$16+'2018'!$I$18+'2018'!$I$24+SUM('2018'!$I$33:$I$71))*SUM('2018'!$L$31:$V$31)))*'2018'!$I$89+SUM('2018'!$W$33:$W$62)*'2018'!$W$89)/1000</f>
        <v>3.6851999999999996E-2</v>
      </c>
      <c r="D644" s="38">
        <f>(SUM('BAU2030'!$B$33:$B$62)*'BAU2030'!$B$89+SUM('BAU2030'!$C$33:$C$62)*'BAU2030'!$C$89+SUM('BAU2030'!$D$33:$D$62)*'BAU2030'!$D$89+SUM('BAU2030'!$E$33:$E$62)*'BAU2030'!$E$89+SUM('BAU2030'!$F$33:$F$62)*'BAU2030'!$F$89+SUM('BAU2030'!$G$33:$G$62)*'BAU2030'!$G$89+SUM('BAU2030'!$H$33:$H$62)*'BAU2030'!$H$89+(IF(SUM('BAU2030'!$I$33:$I$71)=0,0,SUM('BAU2030'!$I$33:$I$62)-SUM('BAU2030'!$I$33:$I$71)/('BAU2030'!$I$16+'BAU2030'!$I$18+'BAU2030'!$I$24+SUM('BAU2030'!$I$33:$I$71))*SUM('BAU2030'!$L$31:$V$31)))*'BAU2030'!$I$89+SUM('BAU2030'!$W$33:$W$62)*'BAU2030'!$W$89)/1000</f>
        <v>3.537792E-2</v>
      </c>
      <c r="E644" s="38">
        <f>(SUM('BAU2050'!$B$33:$B$62)*'BAU2050'!$B$89+SUM('BAU2050'!$C$33:$C$62)*'BAU2050'!$C$89+SUM('BAU2050'!$D$33:$D$62)*'BAU2050'!$D$89+SUM('BAU2050'!$E$33:$E$62)*'BAU2050'!$E$89+SUM('BAU2050'!$F$33:$F$62)*'BAU2050'!$F$89+SUM('BAU2050'!$G$33:$G$62)*'BAU2050'!$G$89+SUM('BAU2050'!$H$33:$H$62)*'BAU2050'!$H$89+(IF(SUM('BAU2050'!$I$33:$I$71)=0,0,SUM('BAU2050'!$I$33:$I$62)-SUM('BAU2050'!$I$33:$I$71)/('BAU2050'!$I$16+'BAU2050'!$I$18+'BAU2050'!$I$24+SUM('BAU2050'!$I$33:$I$71))*SUM('BAU2050'!$L$31:$V$31)))*'BAU2050'!$I$89+SUM('BAU2050'!$W$33:$W$62)*'BAU2050'!$W$89)/1000</f>
        <v>3.3166800000000003E-2</v>
      </c>
      <c r="F644" s="178"/>
      <c r="G644" s="178"/>
      <c r="H644" s="178"/>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row>
    <row r="645" spans="2:51" x14ac:dyDescent="0.2">
      <c r="B645" s="145" t="s">
        <v>155</v>
      </c>
      <c r="C645" s="38">
        <f>(SUM('2018'!$B$63:$B$71,'2018'!$B$24:$B$25,'2018'!$B$23,'2018'!$B$16)*'2018'!$B$89+SUM('2018'!$C$63:$C$71,'2018'!$C$24:$C$25,'2018'!$C$23,'2018'!$C$16)*'2018'!$C$89+SUM('2018'!$D$63:$D$71,'2018'!$D$24:$D$25,'2018'!$D$23,'2018'!$D$16)*'2018'!$D$89+SUM('2018'!$E$63:$E$71,'2018'!$E$24:$E$25,'2018'!$E$23,'2018'!$E$16)*'2018'!$E$89+SUM('2018'!$F$63:$F$71,'2018'!$F$24:$F$25,'2018'!$F$23,'2018'!$F$16)*'2018'!$F$89+SUM('2018'!$G$63:$G$71,'2018'!$G$24:$G$25,'2018'!$G$23,'2018'!$G$16)*'2018'!$G$89+SUM('2018'!$G$63:$G$71,'2018'!$G$24:$G$25,'2018'!$G$23,'2018'!$G$16)*'2018'!$G$89+SUM('2018'!$H$63:$H$71,'2018'!$H$24:$H$25,'2018'!$H$23,'2018'!$H$16)*'2018'!$H$89+(SUM('2018'!$I$63:$I$71,'2018'!$I$24:$I$25,'2018'!$I$23,'2018'!$I$16)-IF(SUM('2018'!$I$33:$I$71)=0,0,('2018'!$I$24)/('2018'!$I$16+'2018'!$I$18+'2018'!$I$24+SUM('2018'!$I$33:$I$71)))*SUM('2018'!$L$31:$V$31))*'2018'!$I$89+SUM('2018'!$W$63:$W$71,'2018'!$W$24:$W$25,'2018'!$W$23,'2018'!$W$16)*'2018'!$W$89)/1000</f>
        <v>5.6159000000000001E-2</v>
      </c>
      <c r="D645" s="38">
        <f>(SUM('BAU2030'!$B$63:$B$71,'BAU2030'!$B$24:$B$25,'BAU2030'!$B$23,'BAU2030'!$B$16)*'BAU2030'!$B$89+SUM('BAU2030'!$C$63:$C$71,'BAU2030'!$C$24:$C$25,'BAU2030'!$C$23,'BAU2030'!$C$16)*'BAU2030'!$C$89+SUM('BAU2030'!$D$63:$D$71,'BAU2030'!$D$24:$D$25,'BAU2030'!$D$23,'BAU2030'!$D$16)*'BAU2030'!$D$89+SUM('BAU2030'!$E$63:$E$71,'BAU2030'!$E$24:$E$25,'BAU2030'!$E$23,'BAU2030'!$E$16)*'BAU2030'!$E$89+SUM('BAU2030'!$F$63:$F$71,'BAU2030'!$F$24:$F$25,'BAU2030'!$F$23,'BAU2030'!$F$16)*'BAU2030'!$F$89+SUM('BAU2030'!$G$63:$G$71,'BAU2030'!$G$24:$G$25,'BAU2030'!$G$23,'BAU2030'!$G$16)*'BAU2030'!$G$89+SUM('BAU2030'!$G$63:$G$71,'BAU2030'!$G$24:$G$25,'BAU2030'!$G$23,'BAU2030'!$G$16)*'BAU2030'!$G$89+SUM('BAU2030'!$H$63:$H$71,'BAU2030'!$H$24:$H$25,'BAU2030'!$H$23,'BAU2030'!$H$16)*'BAU2030'!$H$89+(SUM('BAU2030'!$I$63:$I$71,'BAU2030'!$I$24:$I$25,'BAU2030'!$I$23,'BAU2030'!$I$16)-IF(SUM('BAU2030'!$I$33:$I$71)=0,0,('BAU2030'!$I$24)/('BAU2030'!$I$16+'BAU2030'!$I$18+'BAU2030'!$I$24+SUM('BAU2030'!$I$33:$I$71)))*SUM('BAU2030'!$L$31:$V$31))*'BAU2030'!$I$89+SUM('BAU2030'!$W$63:$W$71,'BAU2030'!$W$24:$W$25,'BAU2030'!$W$23,'BAU2030'!$W$16)*'BAU2030'!$W$89)/1000</f>
        <v>5.6159000000000001E-2</v>
      </c>
      <c r="E645" s="38">
        <f>(SUM('BAU2050'!$B$63:$B$71,'BAU2050'!$B$24:$B$25,'BAU2050'!$B$23,'BAU2050'!$B$16)*'BAU2050'!$B$89+SUM('BAU2050'!$C$63:$C$71,'BAU2050'!$C$24:$C$25,'BAU2050'!$C$23,'BAU2050'!$C$16)*'BAU2050'!$C$89+SUM('BAU2050'!$D$63:$D$71,'BAU2050'!$D$24:$D$25,'BAU2050'!$D$23,'BAU2050'!$D$16)*'BAU2050'!$D$89+SUM('BAU2050'!$E$63:$E$71,'BAU2050'!$E$24:$E$25,'BAU2050'!$E$23,'BAU2050'!$E$16)*'BAU2050'!$E$89+SUM('BAU2050'!$F$63:$F$71,'BAU2050'!$F$24:$F$25,'BAU2050'!$F$23,'BAU2050'!$F$16)*'BAU2050'!$F$89+SUM('BAU2050'!$G$63:$G$71,'BAU2050'!$G$24:$G$25,'BAU2050'!$G$23,'BAU2050'!$G$16)*'BAU2050'!$G$89+SUM('BAU2050'!$G$63:$G$71,'BAU2050'!$G$24:$G$25,'BAU2050'!$G$23,'BAU2050'!$G$16)*'BAU2050'!$G$89+SUM('BAU2050'!$H$63:$H$71,'BAU2050'!$H$24:$H$25,'BAU2050'!$H$23,'BAU2050'!$H$16)*'BAU2050'!$H$89+(SUM('BAU2050'!$I$63:$I$71,'BAU2050'!$I$24:$I$25,'BAU2050'!$I$23,'BAU2050'!$I$16)-IF(SUM('BAU2050'!$I$33:$I$71)=0,0,('BAU2050'!$I$24)/('BAU2050'!$I$16+'BAU2050'!$I$18+'BAU2050'!$I$24+SUM('BAU2050'!$I$33:$I$71)))*SUM('BAU2050'!$L$31:$V$31))*'BAU2050'!$I$89+SUM('BAU2050'!$W$63:$W$71,'BAU2050'!$W$24:$W$25,'BAU2050'!$W$23,'BAU2050'!$W$16)*'BAU2050'!$W$89)/1000</f>
        <v>5.6159000000000001E-2</v>
      </c>
      <c r="F645" s="178"/>
      <c r="G645" s="178"/>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row>
    <row r="646" spans="2:51" x14ac:dyDescent="0.2">
      <c r="B646" s="145" t="s">
        <v>156</v>
      </c>
      <c r="C646" s="38">
        <f>('2018'!$D$80*'2018'!$D$89+'2018'!$F$82*1000+'2018'!$G$82*1000+'2018'!$H$82*1000)/1000</f>
        <v>6.5195312800000007</v>
      </c>
      <c r="D646" s="38">
        <f>('BAU2030'!$D$80*'BAU2030'!$D$89+'BAU2030'!$F$82*1000+'BAU2030'!$G$82*1000+'BAU2030'!$H$82*1000)/1000</f>
        <v>6.2675864320420009</v>
      </c>
      <c r="E646" s="38">
        <f>('BAU2050'!$D$80*'BAU2050'!$D$89+'BAU2050'!$F$82*1000+'BAU2050'!$G$82*1000+'BAU2050'!$H$82*1000)/1000</f>
        <v>4.68929102255</v>
      </c>
      <c r="F646" s="178"/>
      <c r="G646" s="178"/>
      <c r="H646" s="178"/>
      <c r="I646" s="139"/>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row>
    <row r="647" spans="2:51" x14ac:dyDescent="0.2">
      <c r="B647" s="145" t="s">
        <v>207</v>
      </c>
      <c r="C647" s="38"/>
      <c r="D647" s="38"/>
      <c r="E647" s="38"/>
      <c r="F647" s="178"/>
      <c r="G647" s="178"/>
      <c r="H647" s="178"/>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row>
    <row r="648" spans="2:51" x14ac:dyDescent="0.2">
      <c r="B648" s="145" t="s">
        <v>157</v>
      </c>
      <c r="C648" s="38">
        <f>'2018'!$A$82</f>
        <v>4.5293996632071147</v>
      </c>
      <c r="D648" s="38">
        <f>'BAU2030'!$A$82</f>
        <v>0</v>
      </c>
      <c r="E648" s="38">
        <f>'BAU2050'!$A$82</f>
        <v>0</v>
      </c>
      <c r="F648" s="178"/>
      <c r="G648" s="178"/>
      <c r="H648" s="178"/>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row>
    <row r="649" spans="2:51" x14ac:dyDescent="0.2">
      <c r="B649" s="15" t="s">
        <v>147</v>
      </c>
      <c r="C649" s="16">
        <f>SUM(C643:C648)</f>
        <v>12.973441943207117</v>
      </c>
      <c r="D649" s="16">
        <f>SUM(D643:D648)</f>
        <v>6.8865953520420007</v>
      </c>
      <c r="E649" s="16">
        <f>SUM(E643:E648)</f>
        <v>4.7786168225500001</v>
      </c>
      <c r="F649" s="259"/>
      <c r="G649" s="259"/>
      <c r="H649" s="259"/>
      <c r="I649" s="4"/>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row>
    <row r="650" spans="2:51" x14ac:dyDescent="0.2">
      <c r="C650" s="285"/>
      <c r="D650" s="285"/>
      <c r="E650" s="285"/>
      <c r="F650" s="285"/>
      <c r="G650" s="285"/>
      <c r="H650" s="285"/>
      <c r="I650" s="285"/>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row>
    <row r="651" spans="2:51" x14ac:dyDescent="0.2">
      <c r="B651" s="271"/>
      <c r="C651" s="271"/>
      <c r="D651" s="271"/>
      <c r="E651" s="271"/>
      <c r="F651" s="271"/>
      <c r="G651" s="271"/>
      <c r="H651" s="271"/>
      <c r="I651" s="271"/>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row>
    <row r="652" spans="2:51" ht="14.25" x14ac:dyDescent="0.25">
      <c r="B652" s="226" t="s">
        <v>167</v>
      </c>
      <c r="I652" s="28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row>
    <row r="653" spans="2:51" x14ac:dyDescent="0.2">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row>
    <row r="654" spans="2:51" x14ac:dyDescent="0.2">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row>
    <row r="655" spans="2:51" x14ac:dyDescent="0.2">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row>
    <row r="656" spans="2:51" x14ac:dyDescent="0.2">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row>
    <row r="657" spans="19:51" x14ac:dyDescent="0.2">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row>
    <row r="658" spans="19:51" x14ac:dyDescent="0.2">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row>
    <row r="659" spans="19:51" x14ac:dyDescent="0.2">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row>
    <row r="660" spans="19:51" x14ac:dyDescent="0.2">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row>
    <row r="661" spans="19:51" x14ac:dyDescent="0.2">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row>
    <row r="662" spans="19:51" x14ac:dyDescent="0.2">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row>
    <row r="663" spans="19:51" x14ac:dyDescent="0.2">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row>
    <row r="664" spans="19:51" x14ac:dyDescent="0.2">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row>
    <row r="665" spans="19:51" x14ac:dyDescent="0.2">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row>
    <row r="666" spans="19:51" x14ac:dyDescent="0.2">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row>
    <row r="667" spans="19:51" x14ac:dyDescent="0.2">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row>
    <row r="668" spans="19:51" x14ac:dyDescent="0.2">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row>
    <row r="669" spans="19:51" x14ac:dyDescent="0.2">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row>
    <row r="670" spans="19:51" x14ac:dyDescent="0.2">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row>
    <row r="671" spans="19:51" x14ac:dyDescent="0.2">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row>
    <row r="672" spans="19:51" x14ac:dyDescent="0.2">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row>
    <row r="673" spans="2:51" x14ac:dyDescent="0.2">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row>
    <row r="674" spans="2:51" x14ac:dyDescent="0.2">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row>
    <row r="675" spans="2:51" x14ac:dyDescent="0.2">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row>
    <row r="676" spans="2:51" x14ac:dyDescent="0.2">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row>
    <row r="677" spans="2:51" x14ac:dyDescent="0.2">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row>
    <row r="678" spans="2:51" x14ac:dyDescent="0.2">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row>
    <row r="679" spans="2:51" x14ac:dyDescent="0.2">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row>
    <row r="680" spans="2:51" x14ac:dyDescent="0.2">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row>
    <row r="681" spans="2:51" x14ac:dyDescent="0.2">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row>
    <row r="682" spans="2:51" ht="14.25" x14ac:dyDescent="0.25">
      <c r="B682" s="226" t="s">
        <v>167</v>
      </c>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row>
    <row r="683" spans="2:51" x14ac:dyDescent="0.2">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row>
    <row r="684" spans="2:51" x14ac:dyDescent="0.2">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row>
    <row r="685" spans="2:51" x14ac:dyDescent="0.2">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row>
    <row r="686" spans="2:51" x14ac:dyDescent="0.2">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row>
    <row r="687" spans="2:51" x14ac:dyDescent="0.2">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row>
    <row r="688" spans="2:51" x14ac:dyDescent="0.2">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row>
    <row r="689" spans="19:51" x14ac:dyDescent="0.2">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row>
    <row r="690" spans="19:51" x14ac:dyDescent="0.2">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row>
    <row r="691" spans="19:51" x14ac:dyDescent="0.2">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row>
    <row r="692" spans="19:51" x14ac:dyDescent="0.2">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row>
    <row r="693" spans="19:51" x14ac:dyDescent="0.2">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row>
    <row r="694" spans="19:51" x14ac:dyDescent="0.2">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row>
    <row r="695" spans="19:51" x14ac:dyDescent="0.2">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row>
    <row r="696" spans="19:51" x14ac:dyDescent="0.2">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row>
    <row r="697" spans="19:51" x14ac:dyDescent="0.2">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row>
    <row r="698" spans="19:51" x14ac:dyDescent="0.2">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row>
    <row r="699" spans="19:51" x14ac:dyDescent="0.2">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row>
    <row r="700" spans="19:51" x14ac:dyDescent="0.2">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row>
    <row r="701" spans="19:51" x14ac:dyDescent="0.2">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row>
    <row r="702" spans="19:51" x14ac:dyDescent="0.2">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row>
    <row r="703" spans="19:51" x14ac:dyDescent="0.2">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row>
    <row r="704" spans="19:51" x14ac:dyDescent="0.2">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row>
    <row r="705" spans="1:51" x14ac:dyDescent="0.2">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row>
    <row r="706" spans="1:51" x14ac:dyDescent="0.2">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row>
    <row r="707" spans="1:51" x14ac:dyDescent="0.2">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row>
    <row r="708" spans="1:51" x14ac:dyDescent="0.2">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row>
    <row r="709" spans="1:51" x14ac:dyDescent="0.2">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row>
    <row r="710" spans="1:51" x14ac:dyDescent="0.2">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row>
    <row r="711" spans="1:51" x14ac:dyDescent="0.2">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row>
    <row r="712" spans="1:51" ht="33.75" customHeight="1" x14ac:dyDescent="0.2">
      <c r="A712" s="6"/>
      <c r="B712" s="282" t="s">
        <v>168</v>
      </c>
      <c r="C712" s="283"/>
      <c r="D712" s="283"/>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row>
    <row r="713" spans="1:51" x14ac:dyDescent="0.2">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row>
    <row r="714" spans="1:51" x14ac:dyDescent="0.2">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row>
    <row r="715" spans="1:51" x14ac:dyDescent="0.2">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row>
    <row r="716" spans="1:51" x14ac:dyDescent="0.2">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row>
    <row r="717" spans="1:51" x14ac:dyDescent="0.2">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row>
    <row r="718" spans="1:51" x14ac:dyDescent="0.2">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row>
    <row r="719" spans="1:51" x14ac:dyDescent="0.2">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row>
    <row r="720" spans="1:51" x14ac:dyDescent="0.2">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row>
    <row r="721" spans="2:51" x14ac:dyDescent="0.2">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row>
    <row r="722" spans="2:51" x14ac:dyDescent="0.2">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row>
    <row r="723" spans="2:51" x14ac:dyDescent="0.2">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row>
    <row r="724" spans="2:51" x14ac:dyDescent="0.2">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row>
    <row r="725" spans="2:51" x14ac:dyDescent="0.2">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row>
    <row r="726" spans="2:51" x14ac:dyDescent="0.2">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row>
    <row r="727" spans="2:51" x14ac:dyDescent="0.2">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row>
    <row r="728" spans="2:51" x14ac:dyDescent="0.2">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row>
    <row r="729" spans="2:51" x14ac:dyDescent="0.2">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row>
    <row r="730" spans="2:51" x14ac:dyDescent="0.2">
      <c r="B730" s="141" t="s">
        <v>340</v>
      </c>
      <c r="C730" s="142" t="s">
        <v>129</v>
      </c>
      <c r="D730" s="142" t="s">
        <v>129</v>
      </c>
      <c r="E730" s="142" t="s">
        <v>129</v>
      </c>
      <c r="F730" s="142" t="s">
        <v>129</v>
      </c>
      <c r="G730" s="142" t="s">
        <v>129</v>
      </c>
      <c r="H730" s="142" t="s">
        <v>129</v>
      </c>
      <c r="I730" s="287" t="s">
        <v>129</v>
      </c>
      <c r="J730" s="287" t="s">
        <v>129</v>
      </c>
      <c r="K730" s="142" t="s">
        <v>129</v>
      </c>
      <c r="L730" s="20" t="s">
        <v>129</v>
      </c>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row>
    <row r="731" spans="2:51" x14ac:dyDescent="0.2">
      <c r="B731" s="145"/>
      <c r="C731" s="141" t="s">
        <v>169</v>
      </c>
      <c r="D731" s="141" t="s">
        <v>170</v>
      </c>
      <c r="E731" s="141" t="s">
        <v>171</v>
      </c>
      <c r="F731" s="141" t="s">
        <v>172</v>
      </c>
      <c r="G731" s="141" t="s">
        <v>173</v>
      </c>
      <c r="H731" s="141" t="s">
        <v>174</v>
      </c>
      <c r="I731" s="265" t="s">
        <v>175</v>
      </c>
      <c r="J731" s="141" t="s">
        <v>176</v>
      </c>
      <c r="K731" s="141" t="s">
        <v>156</v>
      </c>
      <c r="L731" s="20" t="s">
        <v>147</v>
      </c>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row>
    <row r="732" spans="2:51" x14ac:dyDescent="0.2">
      <c r="B732" s="145" t="s">
        <v>177</v>
      </c>
      <c r="C732" s="38">
        <f>('BAU2030'!$AI$8/'BAU2030'!$AA$8%+'BAU2030'!$AI$9/'BAU2030'!$AB$9%+'BAU2030'!$AI$10/'BAU2030'!$AB$10%+'BAU2030'!$AI$11/'BAU2030'!$AA$11%+'BAU2030'!$AI$12/'BAU2030'!$AA$12%+'BAU2030'!$AI$13/'BAU2030'!$AA$13%+'BAU2030'!$AE$14)/0.95</f>
        <v>34.324759671013538</v>
      </c>
      <c r="D732" s="38">
        <f>('BAU2030'!$AJ$11/'BAU2030'!$AA$11%+'BAU2030'!$AJ$12/'BAU2030'!$AA$12%+'BAU2030'!$AJ$13/'BAU2030'!$AA$13%)/0.95</f>
        <v>4.0668730650154803</v>
      </c>
      <c r="E732" s="38">
        <f>('BAU2030'!$AK$11/'BAU2030'!$AA$11%+'BAU2030'!$AK$12/'BAU2030'!$AA$12%+'BAU2030'!$AK$13/'BAU2030'!$AA$13%)/0.95</f>
        <v>4.1531475748194016</v>
      </c>
      <c r="F732" s="38">
        <f>('BAU2030'!$AL$11/'BAU2030'!$AA$11%+'BAU2030'!$AL$12/'BAU2030'!$AA$12%+'BAU2030'!$AL$13/'BAU2030'!$AA$13%)/0.95</f>
        <v>6.9077399380804962</v>
      </c>
      <c r="G732" s="38">
        <f>('BAU2030'!$AM$11/'BAU2030'!$AA$11%+'BAU2030'!$AM$12/'BAU2030'!$AA$12%+'BAU2030'!$AM$13/'BAU2030'!$AA$13%)/0.95</f>
        <v>0</v>
      </c>
      <c r="H732" s="38">
        <f>('BAU2030'!$AN$11/'BAU2030'!$AA$11%+'BAU2030'!$AN$12/'BAU2030'!$AA$12%+'BAU2030'!$AN$13/'BAU2030'!$AA$13%+'BAU2030'!$AE$69)/0.95</f>
        <v>0</v>
      </c>
      <c r="I732" s="38">
        <f>('BAU2030'!$AO$11/'BAU2030'!$AA$11%+'BAU2030'!$AO$12/'BAU2030'!$AA$12%+'BAU2030'!$AO$13/'BAU2030'!$AA$13%)/0.95</f>
        <v>0</v>
      </c>
      <c r="J732" s="38">
        <f>('BAU2030'!$AP$11/'BAU2030'!$AA$11%+'BAU2030'!$AP$12/'BAU2030'!$AA$12%+'BAU2030'!$AP$13/'BAU2030'!$AA$13%)/0.95</f>
        <v>7.1294117647058819</v>
      </c>
      <c r="K732" s="38">
        <f>('BAU2030'!$AE$78/'BAU2030'!$AA$78%+'BAU2030'!$AQ$13/'BAU2030'!$AA$13%)/0.95</f>
        <v>4.2308442873065024</v>
      </c>
      <c r="L732" s="21">
        <f>SUM(C732:K732)</f>
        <v>60.812776300941302</v>
      </c>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row>
    <row r="733" spans="2:51" x14ac:dyDescent="0.2">
      <c r="B733" s="145" t="s">
        <v>132</v>
      </c>
      <c r="C733" s="38"/>
      <c r="D733" s="38"/>
      <c r="E733" s="38"/>
      <c r="F733" s="38"/>
      <c r="G733" s="38"/>
      <c r="H733" s="38">
        <f>'BAU2030'!$C$25</f>
        <v>0</v>
      </c>
      <c r="I733" s="288"/>
      <c r="J733" s="288"/>
      <c r="K733" s="38"/>
      <c r="L733" s="21">
        <f t="shared" ref="L733:L745" si="2">SUM(C733:K733)</f>
        <v>0</v>
      </c>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row>
    <row r="734" spans="2:51" x14ac:dyDescent="0.2">
      <c r="B734" s="145" t="s">
        <v>133</v>
      </c>
      <c r="C734" s="38">
        <f>'BAU2030'!$AI$16/'BAU2030'!$AB$16%+'BAU2030'!$AI$18/'BAU2030'!$AB$18%</f>
        <v>0.31149999999999994</v>
      </c>
      <c r="D734" s="38">
        <f>'BAU2030'!$AJ$16/'BAU2030'!$AB$16%</f>
        <v>6.2300000000000001E-2</v>
      </c>
      <c r="E734" s="38">
        <f>'BAU2030'!$AK$16/'BAU2030'!$AB$16%</f>
        <v>5.3400000000000003E-2</v>
      </c>
      <c r="F734" s="38">
        <f>'BAU2030'!$AL$16/'BAU2030'!$AB$16%</f>
        <v>2.6700000000000002E-2</v>
      </c>
      <c r="G734" s="38">
        <f>'BAU2030'!$AM$16/'BAU2030'!$AB$16%</f>
        <v>3.56E-2</v>
      </c>
      <c r="H734" s="38">
        <f>'BAU2030'!$AN$16/'BAU2030'!$AB$16%+'BAU2030'!$I$24+'BAU2030'!$I$25</f>
        <v>0.3382</v>
      </c>
      <c r="I734" s="38">
        <f>'BAU2030'!$AO$16/'BAU2030'!$AB$16%</f>
        <v>0</v>
      </c>
      <c r="J734" s="38">
        <f>'BAU2030'!$AP$16/'BAU2030'!$AB$16%</f>
        <v>6.2300000000000001E-2</v>
      </c>
      <c r="K734" s="38">
        <f>'BAU2030'!$AQ$16/'BAU2030'!$AB$16%</f>
        <v>0</v>
      </c>
      <c r="L734" s="21">
        <f t="shared" si="2"/>
        <v>0.89</v>
      </c>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row>
    <row r="735" spans="2:51" x14ac:dyDescent="0.2">
      <c r="B735" s="145" t="s">
        <v>134</v>
      </c>
      <c r="C735" s="38"/>
      <c r="D735" s="38"/>
      <c r="E735" s="38"/>
      <c r="F735" s="38"/>
      <c r="G735" s="38"/>
      <c r="H735" s="38">
        <f>'BAU2030'!$D$25</f>
        <v>0</v>
      </c>
      <c r="I735" s="288"/>
      <c r="J735" s="288"/>
      <c r="K735" s="38">
        <f>'BAU2030'!$D$80*'BAU2030'!$AA$80/100</f>
        <v>3.2597399999999998E-4</v>
      </c>
      <c r="L735" s="21">
        <f t="shared" si="2"/>
        <v>3.2597399999999998E-4</v>
      </c>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row>
    <row r="736" spans="2:51" x14ac:dyDescent="0.2">
      <c r="B736" s="145" t="s">
        <v>135</v>
      </c>
      <c r="C736" s="38">
        <f>'BAU2030'!$AI$17/'BAU2030'!$AB$17%</f>
        <v>7.1279999999999983</v>
      </c>
      <c r="D736" s="38"/>
      <c r="E736" s="38"/>
      <c r="F736" s="38"/>
      <c r="G736" s="38"/>
      <c r="H736" s="38">
        <f>SUM('BAU2030'!$E$23:$F$23)+SUM('BAU2030'!$E$25:$F$25)</f>
        <v>0</v>
      </c>
      <c r="I736" s="288"/>
      <c r="J736" s="288">
        <f>'BAU2030'!$AP$77/'BAU2030'!$AA$77%</f>
        <v>7.4300000000000006</v>
      </c>
      <c r="K736" s="38">
        <f>'BAU2030'!$F$73+'BAU2030'!$F$74+'BAU2030'!$F$75+'BAU2030'!$F$76+'BAU2030'!$F$78+'BAU2030'!$F$80</f>
        <v>44.759445647000007</v>
      </c>
      <c r="L736" s="21">
        <f t="shared" si="2"/>
        <v>59.317445647000007</v>
      </c>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row>
    <row r="737" spans="2:51" x14ac:dyDescent="0.2">
      <c r="B737" s="145" t="s">
        <v>137</v>
      </c>
      <c r="C737" s="38"/>
      <c r="D737" s="38"/>
      <c r="E737" s="38"/>
      <c r="F737" s="38"/>
      <c r="G737" s="38"/>
      <c r="H737" s="38">
        <f>'BAU2030'!$H$25</f>
        <v>0</v>
      </c>
      <c r="I737" s="288"/>
      <c r="J737" s="288"/>
      <c r="K737" s="38">
        <f>'BAU2030'!$H$72+'BAU2030'!$H$79</f>
        <v>16.864876500000001</v>
      </c>
      <c r="L737" s="21">
        <f t="shared" si="2"/>
        <v>16.864876500000001</v>
      </c>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row>
    <row r="738" spans="2:51" x14ac:dyDescent="0.2">
      <c r="B738" s="145" t="s">
        <v>136</v>
      </c>
      <c r="C738" s="38"/>
      <c r="D738" s="38"/>
      <c r="E738" s="38"/>
      <c r="F738" s="38"/>
      <c r="G738" s="38"/>
      <c r="H738" s="38"/>
      <c r="I738" s="288"/>
      <c r="J738" s="288"/>
      <c r="K738" s="38">
        <f>'BAU2030'!$G$79</f>
        <v>16.310466000000002</v>
      </c>
      <c r="L738" s="21">
        <f t="shared" si="2"/>
        <v>16.310466000000002</v>
      </c>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row>
    <row r="739" spans="2:51" x14ac:dyDescent="0.2">
      <c r="B739" s="145" t="s">
        <v>138</v>
      </c>
      <c r="C739" s="38"/>
      <c r="D739" s="38"/>
      <c r="E739" s="38"/>
      <c r="F739" s="38"/>
      <c r="G739" s="38"/>
      <c r="H739" s="38">
        <f>'BAU2030'!$W$25</f>
        <v>0</v>
      </c>
      <c r="I739" s="288"/>
      <c r="J739" s="288"/>
      <c r="K739" s="38"/>
      <c r="L739" s="21">
        <f t="shared" si="2"/>
        <v>0</v>
      </c>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row>
    <row r="740" spans="2:51" x14ac:dyDescent="0.2">
      <c r="B740" s="145" t="s">
        <v>178</v>
      </c>
      <c r="C740" s="38"/>
      <c r="D740" s="38"/>
      <c r="E740" s="38"/>
      <c r="F740" s="38"/>
      <c r="G740" s="38"/>
      <c r="H740" s="38"/>
      <c r="I740" s="288"/>
      <c r="J740" s="288">
        <f>'BAU2030'!$P$77</f>
        <v>0</v>
      </c>
      <c r="K740" s="38">
        <f>SUM('BAU2030'!$P$72:$P$80)</f>
        <v>3.7886675909999994</v>
      </c>
      <c r="L740" s="21">
        <f t="shared" si="2"/>
        <v>3.7886675909999994</v>
      </c>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row>
    <row r="741" spans="2:51" x14ac:dyDescent="0.2">
      <c r="B741" s="145" t="s">
        <v>141</v>
      </c>
      <c r="C741" s="38">
        <f>'BAU2030'!$AI$19/'BAU2030'!$AB$19%+'BAU2030'!$AI$20/'BAU2030'!$AB$20%+'BAU2030'!$AI$21/'BAU2030'!$AB$21%</f>
        <v>39.388799999999996</v>
      </c>
      <c r="D741" s="38"/>
      <c r="E741" s="38"/>
      <c r="F741" s="38"/>
      <c r="G741" s="38"/>
      <c r="H741" s="38">
        <f>SUM('BAU2030'!$P$25:$S$25)</f>
        <v>10</v>
      </c>
      <c r="I741" s="288"/>
      <c r="J741" s="288"/>
      <c r="K741" s="38"/>
      <c r="L741" s="21">
        <f t="shared" si="2"/>
        <v>49.388799999999996</v>
      </c>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row>
    <row r="742" spans="2:51" x14ac:dyDescent="0.2">
      <c r="B742" s="145" t="s">
        <v>179</v>
      </c>
      <c r="C742" s="38">
        <f>'BAU2030'!$AI$39/IF('BAU2030'!$AC$39=0,1,'BAU2030'!$AC$39%)+'BAU2030'!$AI$43/IF('BAU2030'!$AC$43=0,1,'BAU2030'!$AC$43%)+'BAU2030'!$AI$52/IF('BAU2030'!$AC$52=0,1,'BAU2030'!$AC$52%)+'BAU2030'!$AI$55/IF('BAU2030'!$AC$55=0,1,'BAU2030'!$AC$55%)+'BAU2030'!$AI$62/IF('BAU2030'!$AC$62=0,1,'BAU2030'!$AC$62%)+'BAU2030'!$AI$71/IF('BAU2030'!$AC$71=0,1,'BAU2030'!$AC$71%)</f>
        <v>13.593730559999999</v>
      </c>
      <c r="D742" s="38">
        <f>'BAU2030'!$AJ$39/IF('BAU2030'!$AC$39=0,1,'BAU2030'!$AC$39%)+'BAU2030'!$AJ$43/IF('BAU2030'!$AC$43=0,1,'BAU2030'!$AC$43%)+'BAU2030'!$AJ$52/IF('BAU2030'!$AC$52=0,1,'BAU2030'!$AC$52%)+'BAU2030'!$AJ$55/IF('BAU2030'!$AC$55=0,1,'BAU2030'!$AC$55%)+'BAU2030'!$AJ$62/IF('BAU2030'!$AC$62=0,1,'BAU2030'!$AC$62%)+'BAU2030'!$AJ$71/IF('BAU2030'!$AC$71=0,1,'BAU2030'!$AC$71%)</f>
        <v>2.0640787199999999</v>
      </c>
      <c r="E742" s="38">
        <f>'BAU2030'!$AK$39/IF('BAU2030'!$AC$39=0,1,'BAU2030'!$AC$39%)+'BAU2030'!$AK$43/IF('BAU2030'!$AC$43=0,1,'BAU2030'!$AC$43%)+'BAU2030'!$AK$52/IF('BAU2030'!$AC$52=0,1,'BAU2030'!$AC$52%)+'BAU2030'!$AK$55/IF('BAU2030'!$AC$55=0,1,'BAU2030'!$AC$55%)+'BAU2030'!$AK$62/IF('BAU2030'!$AC$62=0,1,'BAU2030'!$AC$62%)+'BAU2030'!$AK$71/IF('BAU2030'!$AC$71=0,1,'BAU2030'!$AC$71%)</f>
        <v>2.7729542400000002</v>
      </c>
      <c r="F742" s="38">
        <f>'BAU2030'!$AL$39/IF('BAU2030'!$AC$39=0,1,'BAU2030'!$AC$39%)+'BAU2030'!$AL$43/IF('BAU2030'!$AC$43=0,1,'BAU2030'!$AC$43%)+'BAU2030'!$AL$52/IF('BAU2030'!$AC$52=0,1,'BAU2030'!$AC$52%)+'BAU2030'!$AL$55/IF('BAU2030'!$AC$55=0,1,'BAU2030'!$AC$55%)+'BAU2030'!$AL$62/IF('BAU2030'!$AC$62=0,1,'BAU2030'!$AC$62%)+'BAU2030'!$AL$71/IF('BAU2030'!$AC$71=0,1,'BAU2030'!$AC$71%)</f>
        <v>1.4594496000000001</v>
      </c>
      <c r="G742" s="38">
        <f>'BAU2030'!$AM$39/IF('BAU2030'!$AC$39=0,1,'BAU2030'!$AC$39%)+'BAU2030'!$AM$43/IF('BAU2030'!$AC$43=0,1,'BAU2030'!$AC$43%)+'BAU2030'!$AM$52/IF('BAU2030'!$AC$52=0,1,'BAU2030'!$AC$52%)+'BAU2030'!$AM$55/IF('BAU2030'!$AC$55=0,1,'BAU2030'!$AC$55%)+'BAU2030'!$AM$62/IF('BAU2030'!$AC$62=0,1,'BAU2030'!$AC$62%)+'BAU2030'!$AM$71/IF('BAU2030'!$AC$71=0,1,'BAU2030'!$AC$71%)</f>
        <v>0</v>
      </c>
      <c r="H742" s="38">
        <f>'BAU2030'!$AN$39/IF('BAU2030'!$AC$39=0,1,'BAU2030'!$AC$39%)+'BAU2030'!$AN$43/IF('BAU2030'!$AC$43=0,1,'BAU2030'!$AC$43%)+'BAU2030'!$AN$52/IF('BAU2030'!$AC$52=0,1,'BAU2030'!$AC$52%)+'BAU2030'!$AN$55/IF('BAU2030'!$AC$55=0,1,'BAU2030'!$AC$55%)+'BAU2030'!$AN$62/IF('BAU2030'!$AC$62=0,1,'BAU2030'!$AC$62%)+'BAU2030'!$AN$71/IF('BAU2030'!$AC$71=0,1,'BAU2030'!$AC$71%)</f>
        <v>0.66717695999999993</v>
      </c>
      <c r="I742" s="38">
        <f>'BAU2030'!$AO$39/IF('BAU2030'!$AC$39=0,1,'BAU2030'!$AC$39%)+'BAU2030'!$AO$43/IF('BAU2030'!$AC$43=0,1,'BAU2030'!$AC$43%)+'BAU2030'!$AO$52/IF('BAU2030'!$AC$52=0,1,'BAU2030'!$AC$52%)+'BAU2030'!$AO$55/IF('BAU2030'!$AC$55=0,1,'BAU2030'!$AC$55%)+'BAU2030'!$AO$62/IF('BAU2030'!$AC$62=0,1,'BAU2030'!$AC$62%)+'BAU2030'!$AO$71/IF('BAU2030'!$AC$71=0,1,'BAU2030'!$AC$71%)</f>
        <v>0.31273919999999994</v>
      </c>
      <c r="J742" s="38">
        <f>'BAU2030'!$AP$39/IF('BAU2030'!$AC$39=0,1,'BAU2030'!$AC$39%)+'BAU2030'!$AP$43/IF('BAU2030'!$AC$43=0,1,'BAU2030'!$AC$43%)+'BAU2030'!$AP$52/IF('BAU2030'!$AC$52=0,1,'BAU2030'!$AC$52%)+'BAU2030'!$AP$55/IF('BAU2030'!$AC$55=0,1,'BAU2030'!$AC$55%)+'BAU2030'!$AP$62/IF('BAU2030'!$AC$62=0,1,'BAU2030'!$AC$62%)+'BAU2030'!$AP$71/IF('BAU2030'!$AC$71=0,1,'BAU2030'!$AC$71%)</f>
        <v>0</v>
      </c>
      <c r="K742" s="38"/>
      <c r="L742" s="21">
        <f t="shared" si="2"/>
        <v>20.870129279999997</v>
      </c>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row>
    <row r="743" spans="2:51" x14ac:dyDescent="0.2">
      <c r="B743" s="145" t="s">
        <v>211</v>
      </c>
      <c r="C743" s="38"/>
      <c r="D743" s="38"/>
      <c r="E743" s="38"/>
      <c r="F743" s="38"/>
      <c r="G743" s="38"/>
      <c r="H743" s="38">
        <f>(-'BAU2030'!$AF$70)</f>
        <v>0</v>
      </c>
      <c r="I743" s="288"/>
      <c r="J743" s="288"/>
      <c r="K743" s="38"/>
      <c r="L743" s="21">
        <f t="shared" si="2"/>
        <v>0</v>
      </c>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row>
    <row r="744" spans="2:51" x14ac:dyDescent="0.2">
      <c r="B744" s="145" t="s">
        <v>143</v>
      </c>
      <c r="C744" s="38"/>
      <c r="D744" s="38"/>
      <c r="E744" s="38"/>
      <c r="F744" s="38"/>
      <c r="G744" s="38"/>
      <c r="H744" s="38">
        <f>'BAU2030'!$O$25+'BAU2030'!$T$25+'BAU2030'!$U$25+'BAU2030'!$V$25</f>
        <v>0</v>
      </c>
      <c r="I744" s="288"/>
      <c r="J744" s="288"/>
      <c r="K744" s="38"/>
      <c r="L744" s="21">
        <f t="shared" si="2"/>
        <v>0</v>
      </c>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row>
    <row r="745" spans="2:51" x14ac:dyDescent="0.2">
      <c r="B745" s="145" t="s">
        <v>180</v>
      </c>
      <c r="C745" s="38">
        <f>'BAU2030'!$AI$22/'BAU2030'!$AB$22%+'BAU2030'!$N$14</f>
        <v>8.5823999999999998</v>
      </c>
      <c r="D745" s="38"/>
      <c r="E745" s="38"/>
      <c r="F745" s="38"/>
      <c r="G745" s="38"/>
      <c r="H745" s="38"/>
      <c r="I745" s="288"/>
      <c r="J745" s="288"/>
      <c r="K745" s="38"/>
      <c r="L745" s="21">
        <f t="shared" si="2"/>
        <v>8.5823999999999998</v>
      </c>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row>
    <row r="746" spans="2:51" x14ac:dyDescent="0.2">
      <c r="B746" s="15" t="s">
        <v>147</v>
      </c>
      <c r="C746" s="16">
        <f t="shared" ref="C746:K746" si="3">SUM(C732:C745)</f>
        <v>103.32919023101354</v>
      </c>
      <c r="D746" s="16">
        <f t="shared" si="3"/>
        <v>6.1932517850154802</v>
      </c>
      <c r="E746" s="16">
        <f t="shared" si="3"/>
        <v>6.9795018148194021</v>
      </c>
      <c r="F746" s="16">
        <f t="shared" si="3"/>
        <v>8.3938895380804972</v>
      </c>
      <c r="G746" s="16">
        <f t="shared" si="3"/>
        <v>3.56E-2</v>
      </c>
      <c r="H746" s="16">
        <f t="shared" si="3"/>
        <v>11.00537696</v>
      </c>
      <c r="I746" s="22">
        <f t="shared" si="3"/>
        <v>0.31273919999999994</v>
      </c>
      <c r="J746" s="22">
        <f t="shared" si="3"/>
        <v>14.621711764705882</v>
      </c>
      <c r="K746" s="16">
        <f t="shared" si="3"/>
        <v>85.954625999306501</v>
      </c>
      <c r="L746" s="21">
        <f>SUM(C746:K746)</f>
        <v>236.8258872929413</v>
      </c>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row>
    <row r="747" spans="2:51" x14ac:dyDescent="0.2">
      <c r="B747" s="226"/>
      <c r="C747" s="289"/>
      <c r="D747" s="14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row>
    <row r="748" spans="2:51" x14ac:dyDescent="0.2">
      <c r="B748" s="226"/>
      <c r="C748" s="146"/>
      <c r="D748" s="14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row>
    <row r="749" spans="2:51" x14ac:dyDescent="0.2">
      <c r="B749" s="226" t="s">
        <v>227</v>
      </c>
      <c r="C749" s="146"/>
      <c r="D749" s="14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row>
    <row r="750" spans="2:51" x14ac:dyDescent="0.2">
      <c r="B750" s="226"/>
      <c r="C750" s="146"/>
      <c r="D750" s="14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row>
    <row r="751" spans="2:51" x14ac:dyDescent="0.2">
      <c r="B751" s="226"/>
      <c r="C751" s="146"/>
      <c r="D751" s="14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row>
    <row r="752" spans="2:51" x14ac:dyDescent="0.2">
      <c r="B752" s="226"/>
      <c r="C752" s="146"/>
      <c r="D752" s="14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row>
    <row r="753" spans="2:51" x14ac:dyDescent="0.2">
      <c r="B753" s="226"/>
      <c r="C753" s="146"/>
      <c r="D753" s="14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row>
    <row r="754" spans="2:51" x14ac:dyDescent="0.2">
      <c r="B754" s="226"/>
      <c r="C754" s="146"/>
      <c r="D754" s="14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row>
    <row r="755" spans="2:51" x14ac:dyDescent="0.2">
      <c r="B755" s="226"/>
      <c r="C755" s="146"/>
      <c r="D755" s="14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row>
    <row r="756" spans="2:51" x14ac:dyDescent="0.2">
      <c r="B756" s="226"/>
      <c r="C756" s="146"/>
      <c r="D756" s="14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row>
    <row r="757" spans="2:51" x14ac:dyDescent="0.2">
      <c r="B757" s="226"/>
      <c r="C757" s="146"/>
      <c r="D757" s="14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row>
    <row r="758" spans="2:51" x14ac:dyDescent="0.2">
      <c r="B758" s="226"/>
      <c r="C758" s="146"/>
      <c r="D758" s="14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row>
    <row r="759" spans="2:51" x14ac:dyDescent="0.2">
      <c r="B759" s="226"/>
      <c r="C759" s="146"/>
      <c r="D759" s="14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row>
    <row r="760" spans="2:51" x14ac:dyDescent="0.2">
      <c r="B760" s="226"/>
      <c r="C760" s="146"/>
      <c r="D760" s="14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row>
    <row r="761" spans="2:51" x14ac:dyDescent="0.2">
      <c r="B761" s="226"/>
      <c r="C761" s="146"/>
      <c r="D761" s="14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row>
    <row r="762" spans="2:51" x14ac:dyDescent="0.2">
      <c r="B762" s="226"/>
      <c r="C762" s="146"/>
      <c r="D762" s="14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row>
    <row r="763" spans="2:51" x14ac:dyDescent="0.2">
      <c r="B763" s="226"/>
      <c r="C763" s="146"/>
      <c r="D763" s="14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row>
    <row r="764" spans="2:51" x14ac:dyDescent="0.2">
      <c r="B764" s="226"/>
      <c r="C764" s="146"/>
      <c r="D764" s="14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row>
    <row r="765" spans="2:51" x14ac:dyDescent="0.2">
      <c r="B765" s="226"/>
      <c r="C765" s="146"/>
      <c r="D765" s="14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row>
    <row r="766" spans="2:51" x14ac:dyDescent="0.2">
      <c r="B766" s="226"/>
      <c r="C766" s="146"/>
      <c r="D766" s="14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row>
    <row r="767" spans="2:51" x14ac:dyDescent="0.2">
      <c r="B767" s="226"/>
      <c r="C767" s="146"/>
      <c r="D767" s="14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row>
    <row r="768" spans="2:51" x14ac:dyDescent="0.2">
      <c r="B768" s="226"/>
      <c r="C768" s="146"/>
      <c r="D768" s="14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row>
    <row r="769" spans="2:51" x14ac:dyDescent="0.2">
      <c r="B769" s="226"/>
      <c r="C769" s="146"/>
      <c r="D769" s="14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row>
    <row r="770" spans="2:51" x14ac:dyDescent="0.2">
      <c r="B770" s="226"/>
      <c r="C770" s="146"/>
      <c r="D770" s="14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row>
    <row r="771" spans="2:51" x14ac:dyDescent="0.2">
      <c r="B771" s="226"/>
      <c r="C771" s="146"/>
      <c r="D771" s="14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row>
    <row r="772" spans="2:51" x14ac:dyDescent="0.2">
      <c r="B772" s="226"/>
      <c r="C772" s="146"/>
      <c r="D772" s="14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row>
    <row r="773" spans="2:51" x14ac:dyDescent="0.2">
      <c r="B773" s="226"/>
      <c r="C773" s="146"/>
      <c r="D773" s="14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row>
    <row r="774" spans="2:51" x14ac:dyDescent="0.2">
      <c r="B774" s="226"/>
      <c r="C774" s="146"/>
      <c r="D774" s="14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row>
    <row r="775" spans="2:51" x14ac:dyDescent="0.2">
      <c r="B775" s="226"/>
      <c r="C775" s="146"/>
      <c r="D775" s="14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row>
    <row r="776" spans="2:51" x14ac:dyDescent="0.2">
      <c r="B776" s="226"/>
      <c r="C776" s="146"/>
      <c r="D776" s="14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row>
    <row r="777" spans="2:51" x14ac:dyDescent="0.2">
      <c r="B777" s="226"/>
      <c r="C777" s="146"/>
      <c r="D777" s="14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row>
    <row r="778" spans="2:51" x14ac:dyDescent="0.2">
      <c r="B778" s="226"/>
      <c r="C778" s="146"/>
      <c r="D778" s="14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row>
    <row r="779" spans="2:51" x14ac:dyDescent="0.2">
      <c r="B779" s="226"/>
      <c r="C779" s="146"/>
      <c r="D779" s="14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row>
    <row r="780" spans="2:51" x14ac:dyDescent="0.2">
      <c r="B780" s="226"/>
      <c r="C780" s="146"/>
      <c r="D780" s="14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row>
    <row r="781" spans="2:51" x14ac:dyDescent="0.2">
      <c r="B781" s="226"/>
      <c r="C781" s="146"/>
      <c r="D781" s="14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row>
    <row r="782" spans="2:51" x14ac:dyDescent="0.2">
      <c r="B782" s="226"/>
      <c r="C782" s="146"/>
      <c r="D782" s="14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row>
    <row r="783" spans="2:51" x14ac:dyDescent="0.2">
      <c r="B783" s="226"/>
      <c r="C783" s="146"/>
      <c r="D783" s="14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row>
    <row r="784" spans="2:51" x14ac:dyDescent="0.2">
      <c r="B784" s="226" t="s">
        <v>227</v>
      </c>
      <c r="C784" s="146"/>
      <c r="D784" s="14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row>
    <row r="785" spans="2:51" x14ac:dyDescent="0.2">
      <c r="B785" s="226"/>
      <c r="C785" s="146"/>
      <c r="D785" s="14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row>
    <row r="786" spans="2:51" x14ac:dyDescent="0.2">
      <c r="B786" s="226"/>
      <c r="C786" s="146"/>
      <c r="D786" s="14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row>
    <row r="787" spans="2:51" x14ac:dyDescent="0.2">
      <c r="B787" s="226"/>
      <c r="C787" s="146"/>
      <c r="D787" s="14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row>
    <row r="788" spans="2:51" x14ac:dyDescent="0.2">
      <c r="B788" s="226"/>
      <c r="C788" s="146"/>
      <c r="D788" s="14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row>
    <row r="789" spans="2:51" x14ac:dyDescent="0.2">
      <c r="B789" s="226"/>
      <c r="C789" s="146"/>
      <c r="D789" s="14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row>
    <row r="790" spans="2:51" x14ac:dyDescent="0.2">
      <c r="B790" s="226"/>
      <c r="C790" s="146"/>
      <c r="D790" s="14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row>
    <row r="791" spans="2:51" x14ac:dyDescent="0.2">
      <c r="B791" s="226"/>
      <c r="C791" s="146"/>
      <c r="D791" s="14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row>
    <row r="792" spans="2:51" x14ac:dyDescent="0.2">
      <c r="B792" s="226"/>
      <c r="C792" s="146"/>
      <c r="D792" s="14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row>
    <row r="793" spans="2:51" x14ac:dyDescent="0.2">
      <c r="B793" s="226"/>
      <c r="C793" s="146"/>
      <c r="D793" s="14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row>
    <row r="794" spans="2:51" x14ac:dyDescent="0.2">
      <c r="B794" s="226"/>
      <c r="C794" s="146"/>
      <c r="D794" s="14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row>
    <row r="795" spans="2:51" x14ac:dyDescent="0.2">
      <c r="B795" s="226"/>
      <c r="C795" s="146"/>
      <c r="D795" s="14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row>
    <row r="796" spans="2:51" x14ac:dyDescent="0.2">
      <c r="B796" s="226"/>
      <c r="C796" s="146"/>
      <c r="D796" s="14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row>
    <row r="797" spans="2:51" x14ac:dyDescent="0.2">
      <c r="B797" s="226"/>
      <c r="C797" s="146"/>
      <c r="D797" s="14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row>
    <row r="798" spans="2:51" x14ac:dyDescent="0.2">
      <c r="B798" s="226"/>
      <c r="C798" s="146"/>
      <c r="D798" s="14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row>
    <row r="799" spans="2:51" x14ac:dyDescent="0.2">
      <c r="B799" s="226"/>
      <c r="C799" s="146"/>
      <c r="D799" s="14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row>
    <row r="800" spans="2:51" x14ac:dyDescent="0.2">
      <c r="B800" s="226"/>
      <c r="C800" s="146"/>
      <c r="D800" s="14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row>
    <row r="801" spans="2:51" x14ac:dyDescent="0.2">
      <c r="B801" s="226"/>
      <c r="C801" s="146"/>
      <c r="D801" s="14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row>
    <row r="802" spans="2:51" x14ac:dyDescent="0.2">
      <c r="B802" s="226"/>
      <c r="C802" s="146"/>
      <c r="D802" s="14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row>
    <row r="803" spans="2:51" x14ac:dyDescent="0.2">
      <c r="B803" s="226"/>
      <c r="C803" s="146"/>
      <c r="D803" s="14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row>
    <row r="804" spans="2:51" x14ac:dyDescent="0.2">
      <c r="B804" s="226"/>
      <c r="C804" s="146"/>
      <c r="D804" s="14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row>
    <row r="805" spans="2:51" x14ac:dyDescent="0.2">
      <c r="B805" s="226"/>
      <c r="C805" s="146"/>
      <c r="D805" s="14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row>
    <row r="806" spans="2:51" x14ac:dyDescent="0.2">
      <c r="B806" s="226"/>
      <c r="C806" s="146"/>
      <c r="D806" s="14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row>
    <row r="807" spans="2:51" x14ac:dyDescent="0.2">
      <c r="B807" s="226"/>
      <c r="C807" s="146"/>
      <c r="D807" s="14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row>
    <row r="808" spans="2:51" x14ac:dyDescent="0.2">
      <c r="B808" s="226"/>
      <c r="C808" s="146"/>
      <c r="D808" s="14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row>
    <row r="809" spans="2:51" x14ac:dyDescent="0.2">
      <c r="B809" s="226"/>
      <c r="C809" s="146"/>
      <c r="D809" s="14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row>
    <row r="810" spans="2:51" x14ac:dyDescent="0.2">
      <c r="B810" s="226"/>
      <c r="C810" s="146"/>
      <c r="D810" s="14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row>
    <row r="811" spans="2:51" x14ac:dyDescent="0.2">
      <c r="B811" s="226"/>
      <c r="C811" s="146"/>
      <c r="D811" s="14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row>
    <row r="812" spans="2:51" x14ac:dyDescent="0.2">
      <c r="B812" s="226"/>
      <c r="C812" s="146"/>
      <c r="D812" s="14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row>
    <row r="813" spans="2:51" x14ac:dyDescent="0.2">
      <c r="B813" s="226"/>
      <c r="C813" s="146"/>
      <c r="D813" s="14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row>
    <row r="814" spans="2:51" x14ac:dyDescent="0.2">
      <c r="B814" s="226"/>
      <c r="C814" s="146"/>
      <c r="D814" s="14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row>
    <row r="815" spans="2:51" x14ac:dyDescent="0.2">
      <c r="B815" s="226"/>
      <c r="C815" s="146"/>
      <c r="D815" s="14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row>
    <row r="816" spans="2:51" x14ac:dyDescent="0.2">
      <c r="B816" s="226"/>
      <c r="C816" s="146"/>
      <c r="D816" s="14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row>
    <row r="817" spans="2:51" x14ac:dyDescent="0.2">
      <c r="B817" s="226"/>
      <c r="C817" s="146"/>
      <c r="D817" s="14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row>
    <row r="818" spans="2:51" x14ac:dyDescent="0.2">
      <c r="B818" s="226" t="s">
        <v>228</v>
      </c>
      <c r="C818" s="146"/>
      <c r="D818" s="14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row>
    <row r="819" spans="2:51" x14ac:dyDescent="0.2">
      <c r="B819" s="226"/>
      <c r="C819" s="146"/>
      <c r="D819" s="14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row>
    <row r="820" spans="2:51" x14ac:dyDescent="0.2">
      <c r="B820" s="226"/>
      <c r="C820" s="146"/>
      <c r="D820" s="14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row>
    <row r="821" spans="2:51" x14ac:dyDescent="0.2">
      <c r="B821" s="226"/>
      <c r="C821" s="146"/>
      <c r="D821" s="14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row>
    <row r="822" spans="2:51" x14ac:dyDescent="0.2">
      <c r="B822" s="226"/>
      <c r="C822" s="146"/>
      <c r="D822" s="14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row>
    <row r="823" spans="2:51" x14ac:dyDescent="0.2">
      <c r="B823" s="226"/>
      <c r="C823" s="146"/>
      <c r="D823" s="14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row>
    <row r="824" spans="2:51" x14ac:dyDescent="0.2">
      <c r="B824" s="226"/>
      <c r="C824" s="146"/>
      <c r="D824" s="14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row>
    <row r="825" spans="2:51" x14ac:dyDescent="0.2">
      <c r="B825" s="226"/>
      <c r="C825" s="146"/>
      <c r="D825" s="14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row>
    <row r="826" spans="2:51" x14ac:dyDescent="0.2">
      <c r="B826" s="226"/>
      <c r="C826" s="146"/>
      <c r="D826" s="14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row>
    <row r="827" spans="2:51" x14ac:dyDescent="0.2">
      <c r="B827" s="226"/>
      <c r="C827" s="146"/>
      <c r="D827" s="14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row>
    <row r="828" spans="2:51" x14ac:dyDescent="0.2">
      <c r="B828" s="226"/>
      <c r="C828" s="146"/>
      <c r="D828" s="14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row>
    <row r="829" spans="2:51" x14ac:dyDescent="0.2">
      <c r="B829" s="226"/>
      <c r="C829" s="146"/>
      <c r="D829" s="14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row>
    <row r="830" spans="2:51" x14ac:dyDescent="0.2">
      <c r="B830" s="226"/>
      <c r="C830" s="146"/>
      <c r="D830" s="14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row>
    <row r="831" spans="2:51" x14ac:dyDescent="0.2">
      <c r="B831" s="226"/>
      <c r="C831" s="146"/>
      <c r="D831" s="14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row>
    <row r="832" spans="2:51" x14ac:dyDescent="0.2">
      <c r="B832" s="226"/>
      <c r="C832" s="146"/>
      <c r="D832" s="14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row>
    <row r="833" spans="1:51" x14ac:dyDescent="0.2">
      <c r="B833" s="226"/>
      <c r="C833" s="146"/>
      <c r="D833" s="14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row>
    <row r="834" spans="1:51" x14ac:dyDescent="0.2">
      <c r="B834" s="226"/>
      <c r="C834" s="146"/>
      <c r="D834" s="14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row>
    <row r="835" spans="1:51" x14ac:dyDescent="0.2">
      <c r="B835" s="226"/>
      <c r="C835" s="146"/>
      <c r="D835" s="14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row>
    <row r="836" spans="1:51" x14ac:dyDescent="0.2">
      <c r="B836" s="226"/>
      <c r="C836" s="146"/>
      <c r="D836" s="14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row>
    <row r="837" spans="1:51" x14ac:dyDescent="0.2">
      <c r="B837" s="226"/>
      <c r="C837" s="146"/>
      <c r="D837" s="14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row>
    <row r="838" spans="1:51" x14ac:dyDescent="0.2">
      <c r="B838" s="226"/>
      <c r="C838" s="146"/>
      <c r="D838" s="14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row>
    <row r="839" spans="1:51" x14ac:dyDescent="0.2">
      <c r="B839" s="226"/>
      <c r="C839" s="146"/>
      <c r="D839" s="14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row>
    <row r="840" spans="1:51" x14ac:dyDescent="0.2">
      <c r="B840" s="226"/>
      <c r="C840" s="146"/>
      <c r="D840" s="14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row>
    <row r="841" spans="1:51" x14ac:dyDescent="0.2">
      <c r="B841" s="226"/>
      <c r="C841" s="146"/>
      <c r="D841" s="14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row>
    <row r="842" spans="1:51" x14ac:dyDescent="0.2">
      <c r="B842" s="226"/>
      <c r="C842" s="146"/>
      <c r="D842" s="14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row>
    <row r="843" spans="1:51" x14ac:dyDescent="0.2">
      <c r="B843" s="226"/>
      <c r="C843" s="146"/>
      <c r="D843" s="14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row>
    <row r="844" spans="1:51" x14ac:dyDescent="0.2">
      <c r="B844" s="226"/>
      <c r="C844" s="146"/>
      <c r="D844" s="14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row>
    <row r="845" spans="1:51" x14ac:dyDescent="0.2">
      <c r="B845" s="226"/>
      <c r="C845" s="146"/>
      <c r="D845" s="14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row>
    <row r="846" spans="1:51" x14ac:dyDescent="0.2">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row>
    <row r="847" spans="1:51" ht="33.75" customHeight="1" x14ac:dyDescent="0.2">
      <c r="A847" s="6"/>
      <c r="B847" s="282" t="s">
        <v>1</v>
      </c>
      <c r="C847" s="283"/>
      <c r="D847" s="283"/>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row>
    <row r="848" spans="1:51" x14ac:dyDescent="0.2">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row>
    <row r="849" spans="2:51" x14ac:dyDescent="0.2">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row>
    <row r="850" spans="2:51" x14ac:dyDescent="0.2">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row>
    <row r="851" spans="2:51" x14ac:dyDescent="0.2">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row>
    <row r="852" spans="2:51" x14ac:dyDescent="0.2">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row>
    <row r="853" spans="2:51" x14ac:dyDescent="0.2">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row>
    <row r="854" spans="2:51" x14ac:dyDescent="0.2">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row>
    <row r="855" spans="2:51" x14ac:dyDescent="0.2">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row>
    <row r="856" spans="2:51" x14ac:dyDescent="0.2">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row>
    <row r="857" spans="2:51" x14ac:dyDescent="0.2">
      <c r="B857" s="141" t="s">
        <v>341</v>
      </c>
      <c r="C857" s="142" t="s">
        <v>129</v>
      </c>
      <c r="D857" s="142" t="s">
        <v>129</v>
      </c>
      <c r="E857" s="142" t="s">
        <v>129</v>
      </c>
      <c r="F857" s="142" t="s">
        <v>129</v>
      </c>
      <c r="G857" s="142" t="s">
        <v>129</v>
      </c>
      <c r="H857" s="142" t="s">
        <v>129</v>
      </c>
      <c r="I857" s="287" t="s">
        <v>129</v>
      </c>
      <c r="J857" s="287" t="s">
        <v>129</v>
      </c>
      <c r="K857" s="142" t="s">
        <v>129</v>
      </c>
      <c r="N857" s="226"/>
      <c r="O857" s="226"/>
      <c r="S857" s="7"/>
      <c r="T857" s="7"/>
      <c r="U857" s="7"/>
      <c r="V857" s="7"/>
      <c r="W857" s="7"/>
      <c r="X857" s="7"/>
      <c r="Y857" s="7"/>
      <c r="Z857" s="7"/>
      <c r="AA857" s="7"/>
      <c r="AB857" s="7"/>
      <c r="AC857" s="7"/>
      <c r="AD857" s="7"/>
      <c r="AE857" s="7"/>
      <c r="AF857" s="7"/>
      <c r="AG857" s="7"/>
      <c r="AH857" s="7"/>
      <c r="AI857" s="6"/>
      <c r="AJ857" s="6"/>
      <c r="AK857" s="6"/>
      <c r="AL857" s="6"/>
      <c r="AM857" s="6"/>
      <c r="AN857" s="6"/>
      <c r="AO857" s="6"/>
      <c r="AP857" s="6"/>
      <c r="AQ857" s="6"/>
      <c r="AR857" s="6"/>
      <c r="AS857" s="6"/>
      <c r="AT857" s="6"/>
      <c r="AU857" s="6"/>
      <c r="AV857" s="6"/>
      <c r="AW857" s="6"/>
      <c r="AX857" s="6"/>
      <c r="AY857" s="6"/>
    </row>
    <row r="858" spans="2:51" x14ac:dyDescent="0.2">
      <c r="B858" s="145"/>
      <c r="C858" s="290" t="s">
        <v>169</v>
      </c>
      <c r="D858" s="290" t="s">
        <v>170</v>
      </c>
      <c r="E858" s="290" t="s">
        <v>171</v>
      </c>
      <c r="F858" s="290" t="s">
        <v>172</v>
      </c>
      <c r="G858" s="290" t="s">
        <v>173</v>
      </c>
      <c r="H858" s="290" t="s">
        <v>174</v>
      </c>
      <c r="I858" s="291" t="s">
        <v>175</v>
      </c>
      <c r="J858" s="290" t="s">
        <v>176</v>
      </c>
      <c r="K858" s="290" t="s">
        <v>156</v>
      </c>
      <c r="N858" s="226"/>
      <c r="O858" s="22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row>
    <row r="859" spans="2:51" x14ac:dyDescent="0.2">
      <c r="B859" s="145" t="s">
        <v>177</v>
      </c>
      <c r="C859" s="38">
        <f>SUM('BAU2030'!$AI$8:$AI$13)+'BAU2030'!$AE$14</f>
        <v>29.063999999999997</v>
      </c>
      <c r="D859" s="38">
        <f>SUM('BAU2030'!$AJ$8:$AJ$13)</f>
        <v>2.92</v>
      </c>
      <c r="E859" s="38">
        <f>SUM('BAU2030'!$AK$8:$AK$13)</f>
        <v>3.7300000000000004</v>
      </c>
      <c r="F859" s="38">
        <f>SUM('BAU2030'!$AL$8:$AL$13)</f>
        <v>6.2</v>
      </c>
      <c r="G859" s="38">
        <f>SUM('BAU2030'!$AM$8:$AM$13)</f>
        <v>0</v>
      </c>
      <c r="H859" s="38">
        <f>SUM('BAU2030'!$AN$8:$AN$13)+'BAU2030'!$AE$69</f>
        <v>0</v>
      </c>
      <c r="I859" s="38">
        <f>SUM('BAU2030'!$AO$8:$AO$13)</f>
        <v>0</v>
      </c>
      <c r="J859" s="38">
        <f>SUM('BAU2030'!$AP$8:$AP$13)</f>
        <v>5.5299999999999994</v>
      </c>
      <c r="K859" s="38">
        <f>'BAU2030'!$AE$78*'BAU2030'!$AA$78/100+'BAU2030'!$AQ$13</f>
        <v>3.4164067620000003</v>
      </c>
      <c r="N859" s="139"/>
      <c r="O859" s="139"/>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row>
    <row r="860" spans="2:51" x14ac:dyDescent="0.2">
      <c r="B860" s="145" t="s">
        <v>132</v>
      </c>
      <c r="C860" s="38"/>
      <c r="D860" s="38"/>
      <c r="E860" s="38"/>
      <c r="F860" s="38"/>
      <c r="G860" s="38"/>
      <c r="H860" s="38">
        <f>'BAU2030'!$C$25*'BAU2030'!$AA$25/100</f>
        <v>0</v>
      </c>
      <c r="I860" s="288"/>
      <c r="J860" s="288"/>
      <c r="K860" s="38"/>
      <c r="N860" s="139"/>
      <c r="O860" s="139"/>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row>
    <row r="861" spans="2:51" x14ac:dyDescent="0.2">
      <c r="B861" s="145" t="s">
        <v>133</v>
      </c>
      <c r="C861" s="38">
        <f>'BAU2030'!$AI$16+'BAU2030'!$AI$18</f>
        <v>0.11836999999999999</v>
      </c>
      <c r="D861" s="38">
        <f>'BAU2030'!$AJ$16</f>
        <v>2.3674000000000001E-2</v>
      </c>
      <c r="E861" s="38">
        <f>'BAU2030'!$AK$16</f>
        <v>2.0292000000000001E-2</v>
      </c>
      <c r="F861" s="38">
        <f>'BAU2030'!$AL$16</f>
        <v>1.0146000000000001E-2</v>
      </c>
      <c r="G861" s="38">
        <f>'BAU2030'!$AM$16</f>
        <v>1.3528E-2</v>
      </c>
      <c r="H861" s="38">
        <f>'BAU2030'!$AN$16+'BAU2030'!$I$24*'BAU2030'!$AA$24/100+'BAU2030'!$I$25*'BAU2030'!$AA$25/100</f>
        <v>0.12851599999999999</v>
      </c>
      <c r="I861" s="38">
        <f>'BAU2030'!$AO$16</f>
        <v>0</v>
      </c>
      <c r="J861" s="38">
        <f>'BAU2030'!$AP$16</f>
        <v>2.3674000000000001E-2</v>
      </c>
      <c r="K861" s="38">
        <f>'BAU2030'!$AQ$16</f>
        <v>0</v>
      </c>
      <c r="N861" s="139"/>
      <c r="O861" s="139"/>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row>
    <row r="862" spans="2:51" x14ac:dyDescent="0.2">
      <c r="B862" s="145" t="s">
        <v>134</v>
      </c>
      <c r="C862" s="38"/>
      <c r="D862" s="38"/>
      <c r="E862" s="38"/>
      <c r="F862" s="38"/>
      <c r="G862" s="38"/>
      <c r="H862" s="38">
        <f>'BAU2030'!$D$25*'BAU2030'!$AA$25/100</f>
        <v>0</v>
      </c>
      <c r="I862" s="288"/>
      <c r="J862" s="288"/>
      <c r="K862" s="38">
        <f>'BAU2030'!$D$80*'BAU2030'!$AA$80/100</f>
        <v>3.2597399999999998E-4</v>
      </c>
      <c r="N862" s="139"/>
      <c r="O862" s="139"/>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row>
    <row r="863" spans="2:51" x14ac:dyDescent="0.2">
      <c r="B863" s="145" t="s">
        <v>135</v>
      </c>
      <c r="C863" s="38">
        <f>'BAU2030'!$AI$17</f>
        <v>5.702399999999999</v>
      </c>
      <c r="D863" s="38"/>
      <c r="E863" s="38"/>
      <c r="F863" s="38"/>
      <c r="G863" s="38"/>
      <c r="H863" s="38">
        <f>SUM('BAU2030'!$E$23:$F$23)*'BAU2030'!$AA$23/100+SUM('BAU2030'!$E$25:$F$25)*'BAU2030'!$AA$25/100</f>
        <v>0</v>
      </c>
      <c r="I863" s="288"/>
      <c r="J863" s="288">
        <f>'BAU2030'!$AP$77</f>
        <v>2.4519000000000002</v>
      </c>
      <c r="K863" s="38">
        <f>'BAU2030'!$F$73*'BAU2030'!$AA$73/100+'BAU2030'!$F$74*'BAU2030'!$AA$74/100+'BAU2030'!$F$75*'BAU2030'!$AA$75/100+'BAU2030'!$F$76*'BAU2030'!$AA$76/100+'BAU2030'!$F$78*'BAU2030'!$AA$78/100+'BAU2030'!$F$80*'BAU2030'!$AA$80/100</f>
        <v>12.86985164703</v>
      </c>
      <c r="N863" s="139"/>
      <c r="O863" s="139"/>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row>
    <row r="864" spans="2:51" x14ac:dyDescent="0.2">
      <c r="B864" s="145" t="s">
        <v>137</v>
      </c>
      <c r="C864" s="38"/>
      <c r="D864" s="38"/>
      <c r="E864" s="38"/>
      <c r="F864" s="38"/>
      <c r="G864" s="38"/>
      <c r="H864" s="38">
        <f>'BAU2030'!$H$25*'BAU2030'!$AA$25/100</f>
        <v>0</v>
      </c>
      <c r="I864" s="288"/>
      <c r="J864" s="288"/>
      <c r="K864" s="38">
        <f>'BAU2030'!$H$72*'BAU2030'!$AA$72/100+'BAU2030'!$H$79*'BAU2030'!$AA$79/100</f>
        <v>3.3752503650000003</v>
      </c>
      <c r="N864" s="139"/>
      <c r="O864" s="139"/>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row>
    <row r="865" spans="2:51" x14ac:dyDescent="0.2">
      <c r="B865" s="145" t="s">
        <v>136</v>
      </c>
      <c r="C865" s="38"/>
      <c r="D865" s="38"/>
      <c r="E865" s="38"/>
      <c r="F865" s="38"/>
      <c r="G865" s="38"/>
      <c r="H865" s="38"/>
      <c r="I865" s="288"/>
      <c r="J865" s="288"/>
      <c r="K865" s="38">
        <f>'BAU2030'!$G$79*'BAU2030'!$AA$79/100</f>
        <v>5.3824537800000005</v>
      </c>
      <c r="N865" s="139"/>
      <c r="O865" s="139"/>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row>
    <row r="866" spans="2:51" x14ac:dyDescent="0.2">
      <c r="B866" s="145" t="s">
        <v>138</v>
      </c>
      <c r="C866" s="38"/>
      <c r="D866" s="38"/>
      <c r="E866" s="38"/>
      <c r="F866" s="38"/>
      <c r="G866" s="38"/>
      <c r="H866" s="38">
        <f>'BAU2030'!$W$25*'BAU2030'!$AA$25/100</f>
        <v>0</v>
      </c>
      <c r="I866" s="288"/>
      <c r="J866" s="288"/>
      <c r="K866" s="38"/>
      <c r="N866" s="139"/>
      <c r="O866" s="139"/>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row>
    <row r="867" spans="2:51" x14ac:dyDescent="0.2">
      <c r="B867" s="145" t="s">
        <v>178</v>
      </c>
      <c r="C867" s="38"/>
      <c r="D867" s="38"/>
      <c r="E867" s="38"/>
      <c r="F867" s="38"/>
      <c r="G867" s="38"/>
      <c r="H867" s="38"/>
      <c r="I867" s="288"/>
      <c r="J867" s="288">
        <f>'BAU2030'!$P$77*'BAU2030'!$AA$77/100</f>
        <v>0</v>
      </c>
      <c r="K867" s="38">
        <f>'BAU2030'!$P$72*'BAU2030'!$AA$72/100+'BAU2030'!$P$73*'BAU2030'!$AA$73/100+'BAU2030'!$P$74*'BAU2030'!$AA$74/100+'BAU2030'!$P$75*'BAU2030'!$AA$75/100+'BAU2030'!$P$76*'BAU2030'!$AA$76/100</f>
        <v>0.99316428150999991</v>
      </c>
      <c r="N867" s="139"/>
      <c r="O867" s="139"/>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row>
    <row r="868" spans="2:51" x14ac:dyDescent="0.2">
      <c r="B868" s="145" t="s">
        <v>141</v>
      </c>
      <c r="C868" s="38">
        <f>SUM('BAU2030'!$AI$19:$AI$21)</f>
        <v>26.593439999999998</v>
      </c>
      <c r="D868" s="38"/>
      <c r="E868" s="38"/>
      <c r="F868" s="38"/>
      <c r="G868" s="38"/>
      <c r="H868" s="38">
        <f>SUM('BAU2030'!$P$25:$S$25)*'BAU2030'!$AA$25/100</f>
        <v>9</v>
      </c>
      <c r="I868" s="288"/>
      <c r="J868" s="288"/>
      <c r="K868" s="38"/>
      <c r="N868" s="139"/>
      <c r="O868" s="139"/>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row>
    <row r="869" spans="2:51" x14ac:dyDescent="0.2">
      <c r="B869" s="145" t="s">
        <v>179</v>
      </c>
      <c r="C869" s="38">
        <f>'BAU2030'!$AI$39+'BAU2030'!$AI$43+'BAU2030'!$AI$52+'BAU2030'!$AI$55+'BAU2030'!$AI$62+'BAU2030'!$AI$71</f>
        <v>10.19529792</v>
      </c>
      <c r="D869" s="38">
        <f>'BAU2030'!$AJ$39+'BAU2030'!$AJ$43+'BAU2030'!$AJ$52+'BAU2030'!$AJ$55+'BAU2030'!$AJ$62+'BAU2030'!$AJ$71</f>
        <v>1.5480590399999998</v>
      </c>
      <c r="E869" s="38">
        <f>'BAU2030'!$AK$39+'BAU2030'!$AK$43+'BAU2030'!$AK$52+'BAU2030'!$AK$55+'BAU2030'!$AK$62+'BAU2030'!$AK$71</f>
        <v>2.0797156800000001</v>
      </c>
      <c r="F869" s="38">
        <f>'BAU2030'!$AL$39+'BAU2030'!$AL$43+'BAU2030'!$AL$52+'BAU2030'!$AL$55+'BAU2030'!$AL$62+'BAU2030'!$AL$71</f>
        <v>1.0945872000000001</v>
      </c>
      <c r="G869" s="38">
        <f>'BAU2030'!$AM$39+'BAU2030'!$AM$43+'BAU2030'!$AM$52+'BAU2030'!$AM$55+'BAU2030'!$AM$62+'BAU2030'!$AM$71</f>
        <v>0</v>
      </c>
      <c r="H869" s="38">
        <f>'BAU2030'!$AN$39+'BAU2030'!$AN$43+'BAU2030'!$AN$52+'BAU2030'!$AN$55+'BAU2030'!$AN$62+'BAU2030'!$AN$71</f>
        <v>0.50038271999999995</v>
      </c>
      <c r="I869" s="38">
        <f>'BAU2030'!$AO$39+'BAU2030'!$AO$43+'BAU2030'!$AO$52+'BAU2030'!$AO$55+'BAU2030'!$AO$62+'BAU2030'!$AO$71</f>
        <v>0.23455439999999997</v>
      </c>
      <c r="J869" s="38">
        <f>'BAU2030'!$AP$39+'BAU2030'!$AP$43+'BAU2030'!$AP$52+'BAU2030'!$AP$55+'BAU2030'!$AP$62+'BAU2030'!$AP$71</f>
        <v>0</v>
      </c>
      <c r="K869" s="38"/>
      <c r="N869" s="139"/>
      <c r="O869" s="139"/>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row>
    <row r="870" spans="2:51" x14ac:dyDescent="0.2">
      <c r="B870" s="145" t="s">
        <v>211</v>
      </c>
      <c r="C870" s="38"/>
      <c r="D870" s="38"/>
      <c r="E870" s="38"/>
      <c r="F870" s="38"/>
      <c r="G870" s="38"/>
      <c r="H870" s="38">
        <f>(-'BAU2030'!$AF$70)</f>
        <v>0</v>
      </c>
      <c r="I870" s="288"/>
      <c r="J870" s="288"/>
      <c r="K870" s="38"/>
      <c r="N870" s="139"/>
      <c r="O870" s="139"/>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row>
    <row r="871" spans="2:51" x14ac:dyDescent="0.2">
      <c r="B871" s="145" t="s">
        <v>143</v>
      </c>
      <c r="C871" s="38"/>
      <c r="D871" s="38"/>
      <c r="E871" s="38"/>
      <c r="F871" s="38"/>
      <c r="G871" s="38"/>
      <c r="H871" s="38">
        <f>('BAU2030'!$O$25+'BAU2030'!$T$25+'BAU2030'!$U$25+'BAU2030'!$V$25)*'BAU2030'!$AA$25/100</f>
        <v>0</v>
      </c>
      <c r="I871" s="288"/>
      <c r="J871" s="288"/>
      <c r="K871" s="38"/>
      <c r="N871" s="139"/>
      <c r="O871" s="139"/>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row>
    <row r="872" spans="2:51" x14ac:dyDescent="0.2">
      <c r="B872" s="145" t="s">
        <v>180</v>
      </c>
      <c r="C872" s="38">
        <f>'BAU2030'!$AI$22+'BAU2030'!$N$14</f>
        <v>8.5823999999999998</v>
      </c>
      <c r="D872" s="38"/>
      <c r="E872" s="38"/>
      <c r="F872" s="38"/>
      <c r="G872" s="38"/>
      <c r="H872" s="38"/>
      <c r="I872" s="288"/>
      <c r="J872" s="288"/>
      <c r="K872" s="38"/>
      <c r="N872" s="139"/>
      <c r="O872" s="139"/>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row>
    <row r="873" spans="2:51" x14ac:dyDescent="0.2">
      <c r="B873" s="15" t="s">
        <v>147</v>
      </c>
      <c r="C873" s="16">
        <f t="shared" ref="C873:K873" si="4">SUM(C859:C872)</f>
        <v>80.255907919999999</v>
      </c>
      <c r="D873" s="16">
        <f t="shared" si="4"/>
        <v>4.4917330399999997</v>
      </c>
      <c r="E873" s="16">
        <f t="shared" si="4"/>
        <v>5.8300076800000005</v>
      </c>
      <c r="F873" s="16">
        <f t="shared" si="4"/>
        <v>7.3047332000000003</v>
      </c>
      <c r="G873" s="16">
        <f t="shared" si="4"/>
        <v>1.3528E-2</v>
      </c>
      <c r="H873" s="16">
        <f t="shared" si="4"/>
        <v>9.6288987199999987</v>
      </c>
      <c r="I873" s="22">
        <f t="shared" si="4"/>
        <v>0.23455439999999997</v>
      </c>
      <c r="J873" s="22">
        <f t="shared" si="4"/>
        <v>8.0055739999999993</v>
      </c>
      <c r="K873" s="16">
        <f t="shared" si="4"/>
        <v>26.037452809540003</v>
      </c>
      <c r="L873" s="292"/>
      <c r="M873" s="139"/>
      <c r="N873" s="146"/>
      <c r="O873" s="14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row>
    <row r="874" spans="2:51" x14ac:dyDescent="0.2">
      <c r="B874" s="226"/>
      <c r="C874" s="156"/>
      <c r="D874" s="156"/>
      <c r="E874" s="156"/>
      <c r="F874" s="156"/>
      <c r="G874" s="156"/>
      <c r="H874" s="156"/>
      <c r="I874" s="156"/>
      <c r="J874" s="156"/>
      <c r="K874" s="156"/>
      <c r="M874" s="293"/>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row>
    <row r="875" spans="2:51" x14ac:dyDescent="0.2">
      <c r="B875" s="226"/>
      <c r="C875" s="293"/>
      <c r="D875" s="293"/>
      <c r="E875" s="293"/>
      <c r="F875" s="293"/>
      <c r="G875" s="293"/>
      <c r="H875" s="293"/>
      <c r="I875" s="293"/>
      <c r="J875" s="293"/>
      <c r="K875" s="293"/>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row>
    <row r="876" spans="2:51" x14ac:dyDescent="0.2">
      <c r="B876" s="226" t="s">
        <v>229</v>
      </c>
      <c r="C876" s="146"/>
      <c r="D876" s="14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row>
    <row r="877" spans="2:51" x14ac:dyDescent="0.2">
      <c r="B877" s="226"/>
      <c r="C877" s="146"/>
      <c r="D877" s="14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row>
    <row r="878" spans="2:51" x14ac:dyDescent="0.2">
      <c r="B878" s="226"/>
      <c r="C878" s="146"/>
      <c r="D878" s="14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row>
    <row r="879" spans="2:51" x14ac:dyDescent="0.2">
      <c r="B879" s="226"/>
      <c r="C879" s="146"/>
      <c r="D879" s="14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row>
    <row r="880" spans="2:51" x14ac:dyDescent="0.2">
      <c r="B880" s="226"/>
      <c r="C880" s="146"/>
      <c r="D880" s="14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row>
    <row r="881" spans="2:51" x14ac:dyDescent="0.2">
      <c r="B881" s="226"/>
      <c r="C881" s="146"/>
      <c r="D881" s="14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row>
    <row r="882" spans="2:51" x14ac:dyDescent="0.2">
      <c r="B882" s="226"/>
      <c r="C882" s="146"/>
      <c r="D882" s="14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row>
    <row r="883" spans="2:51" x14ac:dyDescent="0.2">
      <c r="B883" s="226"/>
      <c r="C883" s="146"/>
      <c r="D883" s="14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row>
    <row r="884" spans="2:51" x14ac:dyDescent="0.2">
      <c r="B884" s="226"/>
      <c r="C884" s="146"/>
      <c r="D884" s="14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row>
    <row r="885" spans="2:51" x14ac:dyDescent="0.2">
      <c r="B885" s="226"/>
      <c r="C885" s="146"/>
      <c r="D885" s="14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row>
    <row r="886" spans="2:51" x14ac:dyDescent="0.2">
      <c r="B886" s="226"/>
      <c r="C886" s="146"/>
      <c r="D886" s="14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row>
    <row r="887" spans="2:51" x14ac:dyDescent="0.2">
      <c r="B887" s="226"/>
      <c r="C887" s="146"/>
      <c r="D887" s="14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row>
    <row r="888" spans="2:51" x14ac:dyDescent="0.2">
      <c r="B888" s="226"/>
      <c r="C888" s="146"/>
      <c r="D888" s="14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row>
    <row r="889" spans="2:51" x14ac:dyDescent="0.2">
      <c r="B889" s="226"/>
      <c r="C889" s="146"/>
      <c r="D889" s="14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row>
    <row r="890" spans="2:51" x14ac:dyDescent="0.2">
      <c r="B890" s="226"/>
      <c r="C890" s="146"/>
      <c r="D890" s="14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row>
    <row r="891" spans="2:51" x14ac:dyDescent="0.2">
      <c r="B891" s="226"/>
      <c r="C891" s="146"/>
      <c r="D891" s="14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row>
    <row r="892" spans="2:51" x14ac:dyDescent="0.2">
      <c r="B892" s="226"/>
      <c r="C892" s="146"/>
      <c r="D892" s="14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row>
    <row r="893" spans="2:51" x14ac:dyDescent="0.2">
      <c r="B893" s="226"/>
      <c r="C893" s="146"/>
      <c r="D893" s="14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row>
    <row r="894" spans="2:51" x14ac:dyDescent="0.2">
      <c r="B894" s="226"/>
      <c r="C894" s="146"/>
      <c r="D894" s="146"/>
      <c r="S894" s="7"/>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row>
    <row r="895" spans="2:51" x14ac:dyDescent="0.2">
      <c r="B895" s="226"/>
      <c r="C895" s="146"/>
      <c r="D895" s="14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row>
    <row r="896" spans="2:51" x14ac:dyDescent="0.2">
      <c r="B896" s="226"/>
      <c r="C896" s="146"/>
      <c r="D896" s="14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row>
    <row r="897" spans="2:51" x14ac:dyDescent="0.2">
      <c r="B897" s="226"/>
      <c r="C897" s="146"/>
      <c r="D897" s="14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row>
    <row r="898" spans="2:51" x14ac:dyDescent="0.2">
      <c r="C898" s="146"/>
      <c r="D898" s="14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row>
    <row r="899" spans="2:51" x14ac:dyDescent="0.2">
      <c r="C899" s="146"/>
      <c r="D899" s="14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row>
    <row r="900" spans="2:51" x14ac:dyDescent="0.2">
      <c r="B900" s="226"/>
      <c r="C900" s="146"/>
      <c r="D900" s="14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row>
    <row r="901" spans="2:51" x14ac:dyDescent="0.2">
      <c r="C901" s="146"/>
      <c r="D901" s="14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row>
    <row r="902" spans="2:51" x14ac:dyDescent="0.2">
      <c r="B902" s="226"/>
      <c r="C902" s="146"/>
      <c r="D902" s="14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row>
    <row r="903" spans="2:51" x14ac:dyDescent="0.2">
      <c r="B903" s="226"/>
      <c r="C903" s="146"/>
      <c r="D903" s="14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row>
    <row r="904" spans="2:51" x14ac:dyDescent="0.2">
      <c r="B904" s="226"/>
      <c r="C904" s="146"/>
      <c r="D904" s="14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row>
    <row r="905" spans="2:51" x14ac:dyDescent="0.2">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row>
    <row r="906" spans="2:51" x14ac:dyDescent="0.2">
      <c r="B906" s="226"/>
      <c r="C906" s="146"/>
      <c r="D906" s="14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row>
    <row r="907" spans="2:51" x14ac:dyDescent="0.2">
      <c r="B907" s="226"/>
      <c r="C907" s="146"/>
      <c r="D907" s="14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row>
    <row r="908" spans="2:51" x14ac:dyDescent="0.2">
      <c r="B908" s="226"/>
      <c r="C908" s="146"/>
      <c r="D908" s="14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row>
    <row r="909" spans="2:51" x14ac:dyDescent="0.2">
      <c r="B909" s="226"/>
      <c r="C909" s="146"/>
      <c r="D909" s="14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row>
    <row r="910" spans="2:51" x14ac:dyDescent="0.2">
      <c r="B910" s="141" t="s">
        <v>181</v>
      </c>
      <c r="C910" s="142" t="s">
        <v>129</v>
      </c>
      <c r="D910" s="142" t="s">
        <v>129</v>
      </c>
      <c r="E910" s="142" t="s">
        <v>129</v>
      </c>
      <c r="F910" s="266"/>
      <c r="G910" s="266"/>
      <c r="H910" s="26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row>
    <row r="911" spans="2:51" x14ac:dyDescent="0.2">
      <c r="B911" s="145"/>
      <c r="C911" s="141">
        <v>2018</v>
      </c>
      <c r="D911" s="141" t="s">
        <v>220</v>
      </c>
      <c r="E911" s="141" t="s">
        <v>221</v>
      </c>
      <c r="F911" s="267"/>
      <c r="G911" s="267"/>
      <c r="H911" s="267"/>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row>
    <row r="912" spans="2:51" x14ac:dyDescent="0.2">
      <c r="B912" s="145" t="s">
        <v>179</v>
      </c>
      <c r="C912" s="38">
        <f>'2018'!$AI$39+'2018'!$AI$43+'2018'!$AI$52+'2018'!$AI$55+'2018'!$AI$62+'2018'!$AI$71+'2018'!$AJ$39+'2018'!$AJ$43+'2018'!$AJ$52+'2018'!$AJ$55+'2018'!$AJ$62+'2018'!$AJ$71+'2018'!$AK$39+'2018'!$AK$43+'2018'!$AK$52+'2018'!$AK$55+'2018'!$AK$62+'2018'!$AK$71+'2018'!$AL$39+'2018'!$AL$43+'2018'!$AL$52+'2018'!$AL$55+'2018'!$AL$62+'2018'!$AL$71+'2018'!$AM$39+'2018'!$AM$43+'2018'!$AM$52+'2018'!$AM$55+'2018'!$AM$62+'2018'!$AM$71+'2018'!$AN$39+'2018'!$AN$43+'2018'!$AN$52+'2018'!$AN$55+'2018'!$AN$62+'2018'!$AN$71+'2018'!$AO$39+'2018'!$AO$43+'2018'!$AO$52+'2018'!$AO$55+'2018'!$AO$62+'2018'!$AO$71+'2018'!$AP$39+'2018'!$AP$43+'2018'!$AP$52+'2018'!$AP$55+'2018'!$AP$62+'2018'!$AP$71</f>
        <v>16.304788500000004</v>
      </c>
      <c r="D912" s="38">
        <f>'BAU2030'!$AI$39+'BAU2030'!$AI$43+'BAU2030'!$AI$52+'BAU2030'!$AI$55+'BAU2030'!$AI$62+'BAU2030'!$AI$71+'BAU2030'!$AJ$39+'BAU2030'!$AJ$43+'BAU2030'!$AJ$52+'BAU2030'!$AJ$55+'BAU2030'!$AJ$62+'BAU2030'!$AJ$71+'BAU2030'!$AK$39+'BAU2030'!$AK$43+'BAU2030'!$AK$52+'BAU2030'!$AK$55+'BAU2030'!$AK$62+'BAU2030'!$AK$71+'BAU2030'!$AL$39+'BAU2030'!$AL$43+'BAU2030'!$AL$52+'BAU2030'!$AL$55+'BAU2030'!$AL$62+'BAU2030'!$AL$71+'BAU2030'!$AM$39+'BAU2030'!$AM$43+'BAU2030'!$AM$52+'BAU2030'!$AM$55+'BAU2030'!$AM$62+'BAU2030'!$AM$71+'BAU2030'!$AN$39+'BAU2030'!$AN$43+'BAU2030'!$AN$52+'BAU2030'!$AN$55+'BAU2030'!$AN$62+'BAU2030'!$AN$71+'BAU2030'!$AO$39+'BAU2030'!$AO$43+'BAU2030'!$AO$52+'BAU2030'!$AO$55+'BAU2030'!$AO$62+'BAU2030'!$AO$71+'BAU2030'!$AP$39+'BAU2030'!$AP$43+'BAU2030'!$AP$52+'BAU2030'!$AP$55+'BAU2030'!$AP$62+'BAU2030'!$AP$71</f>
        <v>15.652596959999999</v>
      </c>
      <c r="E912" s="38">
        <f>'BAU2050'!$AI$39+'BAU2050'!$AI$43+'BAU2050'!$AI$52+'BAU2050'!$AI$55+'BAU2050'!$AI$62+'BAU2050'!$AI$71+'BAU2050'!$AJ$39+'BAU2050'!$AJ$43+'BAU2050'!$AJ$52+'BAU2050'!$AJ$55+'BAU2050'!$AJ$62+'BAU2050'!$AJ$71+'BAU2050'!$AK$39+'BAU2050'!$AK$43+'BAU2050'!$AK$52+'BAU2050'!$AK$55+'BAU2050'!$AK$62+'BAU2050'!$AK$71+'BAU2050'!$AL$39+'BAU2050'!$AL$43+'BAU2050'!$AL$52+'BAU2050'!$AL$55+'BAU2050'!$AL$62+'BAU2050'!$AL$71+'BAU2050'!$AM$39+'BAU2050'!$AM$43+'BAU2050'!$AM$52+'BAU2050'!$AM$55+'BAU2050'!$AM$62+'BAU2050'!$AM$71+'BAU2050'!$AN$39+'BAU2050'!$AN$43+'BAU2050'!$AN$52+'BAU2050'!$AN$55+'BAU2050'!$AN$62+'BAU2050'!$AN$71+'BAU2050'!$AO$39+'BAU2050'!$AO$43+'BAU2050'!$AO$52+'BAU2050'!$AO$55+'BAU2050'!$AO$62+'BAU2050'!$AO$71+'BAU2050'!$AP$39+'BAU2050'!$AP$43+'BAU2050'!$AP$52+'BAU2050'!$AP$55+'BAU2050'!$AP$62+'BAU2050'!$AP$71</f>
        <v>14.674309650000001</v>
      </c>
      <c r="F912" s="178"/>
      <c r="G912" s="178"/>
      <c r="H912" s="178"/>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row>
    <row r="913" spans="2:51" x14ac:dyDescent="0.2">
      <c r="B913" s="145" t="s">
        <v>182</v>
      </c>
      <c r="C913" s="38">
        <f>'2018'!$AI$18</f>
        <v>0</v>
      </c>
      <c r="D913" s="38">
        <f>'BAU2030'!$AI$18</f>
        <v>0</v>
      </c>
      <c r="E913" s="38">
        <f>'BAU2050'!$AI$18</f>
        <v>0</v>
      </c>
      <c r="F913" s="178"/>
      <c r="G913" s="178"/>
      <c r="H913" s="178"/>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row>
    <row r="914" spans="2:51" x14ac:dyDescent="0.2">
      <c r="B914" s="145" t="s">
        <v>183</v>
      </c>
      <c r="C914" s="38">
        <f>'2018'!$AI$17</f>
        <v>19.8</v>
      </c>
      <c r="D914" s="38">
        <f>'BAU2030'!$AI$17</f>
        <v>5.702399999999999</v>
      </c>
      <c r="E914" s="38">
        <f>'BAU2050'!$AI$17</f>
        <v>0</v>
      </c>
      <c r="F914" s="178"/>
      <c r="G914" s="178"/>
      <c r="H914" s="178"/>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row>
    <row r="915" spans="2:51" x14ac:dyDescent="0.2">
      <c r="B915" s="145" t="s">
        <v>184</v>
      </c>
      <c r="C915" s="38">
        <f>'2018'!$AI$19</f>
        <v>4.2750000000000004</v>
      </c>
      <c r="D915" s="38">
        <f>'BAU2030'!$AI$19</f>
        <v>7.4303999999999997</v>
      </c>
      <c r="E915" s="38">
        <f>'BAU2050'!$AI$19</f>
        <v>8.3025000000000002</v>
      </c>
      <c r="F915" s="178"/>
      <c r="G915" s="178"/>
      <c r="H915" s="178"/>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row>
    <row r="916" spans="2:51" x14ac:dyDescent="0.2">
      <c r="B916" s="145" t="s">
        <v>185</v>
      </c>
      <c r="C916" s="38">
        <f>'2018'!$AI$20</f>
        <v>19.168499999999998</v>
      </c>
      <c r="D916" s="38">
        <f>'BAU2030'!$AI$20</f>
        <v>18.401759999999999</v>
      </c>
      <c r="E916" s="38">
        <f>'BAU2050'!$AI$20</f>
        <v>17.251649999999998</v>
      </c>
      <c r="F916" s="178"/>
      <c r="G916" s="178"/>
      <c r="H916" s="178"/>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row>
    <row r="917" spans="2:51" x14ac:dyDescent="0.2">
      <c r="B917" s="145" t="s">
        <v>186</v>
      </c>
      <c r="C917" s="38">
        <f>'2018'!$AI$21</f>
        <v>0.79299999999999993</v>
      </c>
      <c r="D917" s="38">
        <f>'BAU2030'!$AI$21</f>
        <v>0.76127999999999996</v>
      </c>
      <c r="E917" s="38">
        <f>'BAU2050'!$AI$21</f>
        <v>0.7137</v>
      </c>
      <c r="F917" s="178"/>
      <c r="G917" s="178"/>
      <c r="H917" s="178"/>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row>
    <row r="918" spans="2:51" x14ac:dyDescent="0.2">
      <c r="B918" s="145" t="s">
        <v>187</v>
      </c>
      <c r="C918" s="38">
        <f>'2018'!$AI$9/'2018'!$AB$9%+'2018'!$AI$10/'2018'!$AB$10%</f>
        <v>5.8822222222222216</v>
      </c>
      <c r="D918" s="38">
        <f>'BAU2030'!$AI$9/'BAU2030'!$AB$9%+'BAU2030'!$AI$10/'BAU2030'!$AB$10%</f>
        <v>5.6918222222222212</v>
      </c>
      <c r="E918" s="38">
        <f>'BAU2050'!$AI$9/'BAU2050'!$AB$9%+'BAU2050'!$AI$10/'BAU2050'!$AB$10%</f>
        <v>5.4062222222222225</v>
      </c>
      <c r="F918" s="178"/>
      <c r="G918" s="178"/>
      <c r="H918" s="178"/>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row>
    <row r="919" spans="2:51" x14ac:dyDescent="0.2">
      <c r="B919" s="145" t="s">
        <v>188</v>
      </c>
      <c r="C919" s="38">
        <f>'2018'!$N$14+'2018'!$AE$14</f>
        <v>1.65</v>
      </c>
      <c r="D919" s="38">
        <f>'BAU2030'!$N$14+'BAU2030'!$AE$14</f>
        <v>11.5632</v>
      </c>
      <c r="E919" s="38">
        <f>'BAU2050'!$N$14+'BAU2050'!$AE$14</f>
        <v>14.850000000000001</v>
      </c>
      <c r="F919" s="178"/>
      <c r="G919" s="178"/>
      <c r="H919" s="178"/>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row>
    <row r="920" spans="2:51" x14ac:dyDescent="0.2">
      <c r="B920" s="145" t="s">
        <v>189</v>
      </c>
      <c r="C920" s="38">
        <f>'2018'!$AI$22</f>
        <v>0.91</v>
      </c>
      <c r="D920" s="38">
        <f>'BAU2030'!$AI$22</f>
        <v>0.87360000000000004</v>
      </c>
      <c r="E920" s="38">
        <f>'BAU2050'!$AI$22</f>
        <v>0.81900000000000006</v>
      </c>
      <c r="F920" s="178"/>
      <c r="G920" s="178"/>
      <c r="H920" s="178"/>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row>
    <row r="921" spans="2:51" x14ac:dyDescent="0.2">
      <c r="B921" s="15" t="s">
        <v>147</v>
      </c>
      <c r="C921" s="16">
        <f>SUM(C912:C920)</f>
        <v>68.783510722222218</v>
      </c>
      <c r="D921" s="16">
        <f>SUM(D912:D920)</f>
        <v>66.077059182222214</v>
      </c>
      <c r="E921" s="16">
        <f>SUM(E912:E920)</f>
        <v>62.017381872222224</v>
      </c>
      <c r="F921" s="259"/>
      <c r="G921" s="259"/>
      <c r="H921" s="259"/>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row>
    <row r="922" spans="2:51" x14ac:dyDescent="0.2">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row>
    <row r="923" spans="2:51" x14ac:dyDescent="0.2">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row>
    <row r="924" spans="2:51" x14ac:dyDescent="0.2">
      <c r="B924" s="226" t="s">
        <v>181</v>
      </c>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row>
    <row r="925" spans="2:51" x14ac:dyDescent="0.2">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row>
    <row r="926" spans="2:51" x14ac:dyDescent="0.2">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row>
    <row r="927" spans="2:51" x14ac:dyDescent="0.2">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row>
    <row r="928" spans="2:51" x14ac:dyDescent="0.2">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row>
    <row r="929" spans="19:51" x14ac:dyDescent="0.2">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row>
    <row r="930" spans="19:51" x14ac:dyDescent="0.2">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row>
    <row r="931" spans="19:51" x14ac:dyDescent="0.2">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row>
    <row r="932" spans="19:51" x14ac:dyDescent="0.2">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row>
    <row r="933" spans="19:51" x14ac:dyDescent="0.2">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row>
    <row r="934" spans="19:51" x14ac:dyDescent="0.2">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row>
    <row r="935" spans="19:51" x14ac:dyDescent="0.2">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row>
    <row r="936" spans="19:51" x14ac:dyDescent="0.2">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row>
    <row r="937" spans="19:51" x14ac:dyDescent="0.2">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row>
    <row r="938" spans="19:51" x14ac:dyDescent="0.2">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row>
    <row r="939" spans="19:51" x14ac:dyDescent="0.2">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row>
    <row r="940" spans="19:51" x14ac:dyDescent="0.2">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row>
    <row r="941" spans="19:51" x14ac:dyDescent="0.2">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row>
    <row r="942" spans="19:51" x14ac:dyDescent="0.2">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row>
    <row r="943" spans="19:51" x14ac:dyDescent="0.2">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row>
    <row r="944" spans="19:51" x14ac:dyDescent="0.2">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row>
    <row r="945" spans="2:51" x14ac:dyDescent="0.2">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row>
    <row r="946" spans="2:51" x14ac:dyDescent="0.2">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row>
    <row r="947" spans="2:51" x14ac:dyDescent="0.2">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row>
    <row r="948" spans="2:51" x14ac:dyDescent="0.2">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row>
    <row r="949" spans="2:51" x14ac:dyDescent="0.2">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row>
    <row r="950" spans="2:51" x14ac:dyDescent="0.2">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row>
    <row r="951" spans="2:51" x14ac:dyDescent="0.2">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row>
    <row r="952" spans="2:51" x14ac:dyDescent="0.2">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row>
    <row r="953" spans="2:51" x14ac:dyDescent="0.2">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row>
    <row r="954" spans="2:51" x14ac:dyDescent="0.2">
      <c r="B954" s="226" t="s">
        <v>230</v>
      </c>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row>
    <row r="955" spans="2:51" x14ac:dyDescent="0.2">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row>
    <row r="956" spans="2:51" x14ac:dyDescent="0.2">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row>
    <row r="957" spans="2:51" x14ac:dyDescent="0.2">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row>
    <row r="958" spans="2:51" x14ac:dyDescent="0.2">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row>
    <row r="959" spans="2:51" x14ac:dyDescent="0.2">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row>
    <row r="960" spans="2:51" x14ac:dyDescent="0.2">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row>
    <row r="961" spans="19:51" x14ac:dyDescent="0.2">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row>
    <row r="962" spans="19:51" x14ac:dyDescent="0.2">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row>
    <row r="963" spans="19:51" x14ac:dyDescent="0.2">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row>
    <row r="964" spans="19:51" x14ac:dyDescent="0.2">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row>
    <row r="965" spans="19:51" x14ac:dyDescent="0.2">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row>
    <row r="966" spans="19:51" x14ac:dyDescent="0.2">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row>
    <row r="967" spans="19:51" x14ac:dyDescent="0.2">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row>
    <row r="968" spans="19:51" x14ac:dyDescent="0.2">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row>
    <row r="969" spans="19:51" x14ac:dyDescent="0.2">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row>
    <row r="970" spans="19:51" x14ac:dyDescent="0.2">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row>
    <row r="971" spans="19:51" x14ac:dyDescent="0.2">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row>
    <row r="972" spans="19:51" x14ac:dyDescent="0.2">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row>
    <row r="973" spans="19:51" x14ac:dyDescent="0.2">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row>
    <row r="974" spans="19:51" x14ac:dyDescent="0.2">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row>
    <row r="975" spans="19:51" x14ac:dyDescent="0.2">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row>
    <row r="976" spans="19:51" x14ac:dyDescent="0.2">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row>
    <row r="977" spans="2:51" x14ac:dyDescent="0.2">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row>
    <row r="978" spans="2:51" x14ac:dyDescent="0.2">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row>
    <row r="979" spans="2:51" x14ac:dyDescent="0.2">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row>
    <row r="980" spans="2:51" x14ac:dyDescent="0.2">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row>
    <row r="981" spans="2:51" x14ac:dyDescent="0.2">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row>
    <row r="982" spans="2:51" x14ac:dyDescent="0.2">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row>
    <row r="983" spans="2:51" x14ac:dyDescent="0.2">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row>
    <row r="984" spans="2:51" x14ac:dyDescent="0.2">
      <c r="B984" s="226" t="s">
        <v>342</v>
      </c>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row>
    <row r="985" spans="2:51" x14ac:dyDescent="0.2">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row>
    <row r="986" spans="2:51" x14ac:dyDescent="0.2">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row>
    <row r="987" spans="2:51" x14ac:dyDescent="0.2">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row>
    <row r="988" spans="2:51" x14ac:dyDescent="0.2">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row>
    <row r="989" spans="2:51" x14ac:dyDescent="0.2">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row>
    <row r="990" spans="2:51" x14ac:dyDescent="0.2">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row>
    <row r="991" spans="2:51" x14ac:dyDescent="0.2">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row>
    <row r="992" spans="2:51" x14ac:dyDescent="0.2">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row>
    <row r="993" spans="19:51" x14ac:dyDescent="0.2">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row>
    <row r="994" spans="19:51" x14ac:dyDescent="0.2">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row>
    <row r="995" spans="19:51" x14ac:dyDescent="0.2">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row>
    <row r="996" spans="19:51" x14ac:dyDescent="0.2">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row>
    <row r="997" spans="19:51" x14ac:dyDescent="0.2">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row>
    <row r="998" spans="19:51" x14ac:dyDescent="0.2">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row>
    <row r="999" spans="19:51" x14ac:dyDescent="0.2">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row>
    <row r="1000" spans="19:51" x14ac:dyDescent="0.2">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row>
    <row r="1001" spans="19:51" x14ac:dyDescent="0.2">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row>
    <row r="1002" spans="19:51" x14ac:dyDescent="0.2">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row>
    <row r="1003" spans="19:51" x14ac:dyDescent="0.2">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row>
    <row r="1004" spans="19:51" x14ac:dyDescent="0.2">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row>
    <row r="1005" spans="19:51" x14ac:dyDescent="0.2">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row>
    <row r="1006" spans="19:51" x14ac:dyDescent="0.2">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row>
    <row r="1007" spans="19:51" x14ac:dyDescent="0.2">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row>
    <row r="1008" spans="19:51" x14ac:dyDescent="0.2">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row>
    <row r="1009" spans="1:51" x14ac:dyDescent="0.2">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row>
    <row r="1010" spans="1:51" x14ac:dyDescent="0.2">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row>
    <row r="1011" spans="1:51" x14ac:dyDescent="0.2">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row>
    <row r="1012" spans="1:51" x14ac:dyDescent="0.2">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row>
    <row r="1013" spans="1:51" ht="33.75" customHeight="1" x14ac:dyDescent="0.2">
      <c r="A1013" s="6"/>
      <c r="B1013" s="282" t="s">
        <v>190</v>
      </c>
      <c r="C1013" s="283"/>
      <c r="D1013" s="283"/>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row>
    <row r="1014" spans="1:51" x14ac:dyDescent="0.2">
      <c r="B1014" s="226"/>
      <c r="C1014" s="146"/>
      <c r="D1014" s="14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row>
    <row r="1015" spans="1:51" x14ac:dyDescent="0.2">
      <c r="B1015" s="226"/>
      <c r="C1015" s="146"/>
      <c r="D1015" s="14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row>
    <row r="1016" spans="1:51" x14ac:dyDescent="0.2">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row>
    <row r="1017" spans="1:51" x14ac:dyDescent="0.2">
      <c r="B1017" s="141" t="s">
        <v>343</v>
      </c>
      <c r="C1017" s="142" t="s">
        <v>129</v>
      </c>
      <c r="D1017" s="142" t="s">
        <v>129</v>
      </c>
      <c r="E1017" s="226"/>
      <c r="F1017" s="226"/>
      <c r="G1017" s="226"/>
      <c r="H1017" s="226"/>
      <c r="J1017" s="226"/>
      <c r="K1017" s="226"/>
      <c r="L1017" s="226"/>
      <c r="M1017" s="226"/>
      <c r="N1017" s="226"/>
      <c r="O1017" s="226"/>
      <c r="S1017" s="294"/>
      <c r="T1017" s="294"/>
      <c r="U1017" s="6"/>
      <c r="V1017" s="294"/>
      <c r="W1017" s="294"/>
      <c r="X1017" s="294"/>
      <c r="Y1017" s="294"/>
      <c r="Z1017" s="294"/>
      <c r="AA1017" s="294"/>
      <c r="AB1017" s="294"/>
      <c r="AC1017" s="294"/>
      <c r="AD1017" s="294"/>
      <c r="AE1017" s="294"/>
      <c r="AF1017" s="294"/>
      <c r="AG1017" s="294"/>
      <c r="AH1017" s="6"/>
      <c r="AI1017" s="6"/>
      <c r="AJ1017" s="6"/>
      <c r="AK1017" s="6"/>
      <c r="AL1017" s="6"/>
      <c r="AM1017" s="6"/>
      <c r="AN1017" s="6"/>
      <c r="AO1017" s="6"/>
      <c r="AP1017" s="6"/>
      <c r="AQ1017" s="6"/>
      <c r="AR1017" s="6"/>
      <c r="AS1017" s="6"/>
      <c r="AT1017" s="6"/>
      <c r="AU1017" s="6"/>
      <c r="AV1017" s="6"/>
      <c r="AW1017" s="6"/>
      <c r="AX1017" s="6"/>
      <c r="AY1017" s="6"/>
    </row>
    <row r="1018" spans="1:51" x14ac:dyDescent="0.2">
      <c r="B1018" s="143"/>
      <c r="C1018" s="287" t="s">
        <v>191</v>
      </c>
      <c r="D1018" s="142" t="s">
        <v>192</v>
      </c>
      <c r="E1018" s="226"/>
      <c r="F1018" s="226"/>
      <c r="G1018" s="226"/>
      <c r="H1018" s="226"/>
      <c r="J1018" s="226"/>
      <c r="K1018" s="226"/>
      <c r="L1018" s="226"/>
      <c r="M1018" s="226"/>
      <c r="N1018" s="226"/>
      <c r="O1018" s="226"/>
      <c r="S1018" s="294"/>
      <c r="T1018" s="294"/>
      <c r="U1018" s="6"/>
      <c r="V1018" s="294"/>
      <c r="W1018" s="294"/>
      <c r="X1018" s="294"/>
      <c r="Y1018" s="294"/>
      <c r="Z1018" s="294"/>
      <c r="AA1018" s="294"/>
      <c r="AB1018" s="294"/>
      <c r="AC1018" s="294"/>
      <c r="AD1018" s="294"/>
      <c r="AE1018" s="294"/>
      <c r="AF1018" s="294"/>
      <c r="AG1018" s="294"/>
      <c r="AH1018" s="6"/>
      <c r="AI1018" s="6"/>
      <c r="AJ1018" s="6"/>
      <c r="AK1018" s="6"/>
      <c r="AL1018" s="6"/>
      <c r="AM1018" s="6"/>
      <c r="AN1018" s="6"/>
      <c r="AO1018" s="6"/>
      <c r="AP1018" s="6"/>
      <c r="AQ1018" s="6"/>
      <c r="AR1018" s="6"/>
      <c r="AS1018" s="6"/>
      <c r="AT1018" s="6"/>
      <c r="AU1018" s="6"/>
      <c r="AV1018" s="6"/>
      <c r="AW1018" s="6"/>
      <c r="AX1018" s="6"/>
      <c r="AY1018" s="6"/>
    </row>
    <row r="1019" spans="1:51" x14ac:dyDescent="0.2">
      <c r="B1019" s="143" t="s">
        <v>193</v>
      </c>
      <c r="C1019" s="288"/>
      <c r="D1019" s="38">
        <f>SUM('BAU2030'!$AE$8:$AE$14)+'BAU2030'!$AE$69+'BAU2030'!$AE$78</f>
        <v>57.772137485894234</v>
      </c>
      <c r="E1019" s="156"/>
      <c r="F1019" s="156"/>
      <c r="G1019" s="156"/>
      <c r="H1019" s="156"/>
      <c r="J1019" s="156"/>
      <c r="K1019" s="156"/>
      <c r="L1019" s="156"/>
      <c r="M1019" s="156"/>
      <c r="N1019" s="156"/>
      <c r="O1019" s="156"/>
      <c r="S1019" s="7"/>
      <c r="T1019" s="7"/>
      <c r="U1019" s="6"/>
      <c r="V1019" s="23"/>
      <c r="W1019" s="23"/>
      <c r="X1019" s="23"/>
      <c r="Y1019" s="23"/>
      <c r="Z1019" s="23"/>
      <c r="AA1019" s="23"/>
      <c r="AB1019" s="295"/>
      <c r="AC1019" s="295"/>
      <c r="AD1019" s="295"/>
      <c r="AE1019" s="295"/>
      <c r="AF1019" s="295"/>
      <c r="AG1019" s="295"/>
      <c r="AH1019" s="6"/>
      <c r="AI1019" s="6"/>
      <c r="AJ1019" s="6"/>
      <c r="AK1019" s="6"/>
      <c r="AL1019" s="6"/>
      <c r="AM1019" s="6"/>
      <c r="AN1019" s="6"/>
      <c r="AO1019" s="6"/>
      <c r="AP1019" s="6"/>
      <c r="AQ1019" s="6"/>
      <c r="AR1019" s="6"/>
      <c r="AS1019" s="6"/>
      <c r="AT1019" s="6"/>
      <c r="AU1019" s="6"/>
      <c r="AV1019" s="6"/>
      <c r="AW1019" s="6"/>
      <c r="AX1019" s="6"/>
      <c r="AY1019" s="6"/>
    </row>
    <row r="1020" spans="1:51" x14ac:dyDescent="0.2">
      <c r="B1020" s="143" t="s">
        <v>194</v>
      </c>
      <c r="C1020" s="288"/>
      <c r="D1020" s="38">
        <f>-(SUM('BAU2030'!$AD$8:$AD$14)+SUM('BAU2030'!$AE$8:$AE$14))-('BAU2030'!$AD$48+'BAU2030'!$AE$48)-('BAU2030'!$AD$49+'BAU2030'!$AE$49)-('BAU2030'!$AD$57+'BAU2030'!$AE$57)-('BAU2030'!$AD$58+'BAU2030'!$AE$58)-('BAU2030'!$AD$78+'BAU2030'!$AE$78)</f>
        <v>5.1262157921615525</v>
      </c>
      <c r="E1020" s="156"/>
      <c r="F1020" s="156"/>
      <c r="G1020" s="156"/>
      <c r="H1020" s="156"/>
      <c r="J1020" s="156"/>
      <c r="K1020" s="156"/>
      <c r="L1020" s="156"/>
      <c r="M1020" s="156"/>
      <c r="N1020" s="156"/>
      <c r="O1020" s="156"/>
      <c r="S1020" s="7"/>
      <c r="T1020" s="7"/>
      <c r="U1020" s="6"/>
      <c r="V1020" s="295"/>
      <c r="W1020" s="295"/>
      <c r="X1020" s="295"/>
      <c r="Y1020" s="295"/>
      <c r="Z1020" s="295"/>
      <c r="AA1020" s="295"/>
      <c r="AB1020" s="295"/>
      <c r="AC1020" s="295"/>
      <c r="AD1020" s="295"/>
      <c r="AE1020" s="295"/>
      <c r="AF1020" s="295"/>
      <c r="AG1020" s="295"/>
      <c r="AH1020" s="6"/>
      <c r="AI1020" s="6"/>
      <c r="AJ1020" s="6"/>
      <c r="AK1020" s="6"/>
      <c r="AL1020" s="6"/>
      <c r="AM1020" s="6"/>
      <c r="AN1020" s="6"/>
      <c r="AO1020" s="6"/>
      <c r="AP1020" s="6"/>
      <c r="AQ1020" s="6"/>
      <c r="AR1020" s="6"/>
      <c r="AS1020" s="6"/>
      <c r="AT1020" s="6"/>
      <c r="AU1020" s="6"/>
      <c r="AV1020" s="6"/>
      <c r="AW1020" s="6"/>
      <c r="AX1020" s="6"/>
      <c r="AY1020" s="6"/>
    </row>
    <row r="1021" spans="1:51" x14ac:dyDescent="0.2">
      <c r="B1021" s="143" t="s">
        <v>195</v>
      </c>
      <c r="C1021" s="288"/>
      <c r="D1021" s="38">
        <f>'BAU2030'!$AE$48+'BAU2030'!$AE$49+'BAU2030'!$AE$57+'BAU2030'!$AE$58</f>
        <v>0</v>
      </c>
      <c r="E1021" s="156"/>
      <c r="F1021" s="156"/>
      <c r="G1021" s="156"/>
      <c r="H1021" s="156"/>
      <c r="J1021" s="156"/>
      <c r="K1021" s="156"/>
      <c r="L1021" s="156"/>
      <c r="M1021" s="156"/>
      <c r="N1021" s="156"/>
      <c r="O1021" s="156"/>
      <c r="S1021" s="7"/>
      <c r="T1021" s="7"/>
      <c r="U1021" s="6"/>
      <c r="V1021" s="295"/>
      <c r="W1021" s="295"/>
      <c r="X1021" s="295"/>
      <c r="Y1021" s="295"/>
      <c r="Z1021" s="295"/>
      <c r="AA1021" s="295"/>
      <c r="AB1021" s="295"/>
      <c r="AC1021" s="295"/>
      <c r="AD1021" s="295"/>
      <c r="AE1021" s="295"/>
      <c r="AF1021" s="295"/>
      <c r="AG1021" s="295"/>
      <c r="AH1021" s="6"/>
      <c r="AI1021" s="6"/>
      <c r="AJ1021" s="6"/>
      <c r="AK1021" s="6"/>
      <c r="AL1021" s="6"/>
      <c r="AM1021" s="6"/>
      <c r="AN1021" s="6"/>
      <c r="AO1021" s="6"/>
      <c r="AP1021" s="6"/>
      <c r="AQ1021" s="6"/>
      <c r="AR1021" s="6"/>
      <c r="AS1021" s="6"/>
      <c r="AT1021" s="6"/>
      <c r="AU1021" s="6"/>
      <c r="AV1021" s="6"/>
      <c r="AW1021" s="6"/>
      <c r="AX1021" s="6"/>
      <c r="AY1021" s="6"/>
    </row>
    <row r="1022" spans="1:51" x14ac:dyDescent="0.2">
      <c r="B1022" s="143"/>
      <c r="C1022" s="288"/>
      <c r="D1022" s="38"/>
      <c r="E1022" s="156"/>
      <c r="F1022" s="156"/>
      <c r="G1022" s="156"/>
      <c r="H1022" s="156"/>
      <c r="J1022" s="156"/>
      <c r="K1022" s="156"/>
      <c r="L1022" s="156"/>
      <c r="M1022" s="156"/>
      <c r="N1022" s="156"/>
      <c r="O1022" s="156"/>
      <c r="S1022" s="7"/>
      <c r="T1022" s="7"/>
      <c r="U1022" s="6"/>
      <c r="V1022" s="295"/>
      <c r="W1022" s="295"/>
      <c r="X1022" s="295"/>
      <c r="Y1022" s="295"/>
      <c r="Z1022" s="295"/>
      <c r="AA1022" s="295"/>
      <c r="AB1022" s="295"/>
      <c r="AC1022" s="295"/>
      <c r="AD1022" s="295"/>
      <c r="AE1022" s="295"/>
      <c r="AF1022" s="295"/>
      <c r="AG1022" s="295"/>
      <c r="AH1022" s="6"/>
      <c r="AI1022" s="6"/>
      <c r="AJ1022" s="6"/>
      <c r="AK1022" s="6"/>
      <c r="AL1022" s="6"/>
      <c r="AM1022" s="6"/>
      <c r="AN1022" s="6"/>
      <c r="AO1022" s="6"/>
      <c r="AP1022" s="6"/>
      <c r="AQ1022" s="6"/>
      <c r="AR1022" s="6"/>
      <c r="AS1022" s="6"/>
      <c r="AT1022" s="6"/>
      <c r="AU1022" s="6"/>
      <c r="AV1022" s="6"/>
      <c r="AW1022" s="6"/>
      <c r="AX1022" s="6"/>
      <c r="AY1022" s="6"/>
    </row>
    <row r="1023" spans="1:51" x14ac:dyDescent="0.2">
      <c r="B1023" s="143" t="s">
        <v>196</v>
      </c>
      <c r="C1023" s="288">
        <f>'BAU2030'!$AD$32+SUM('BAU2030'!$AD$33:$AD$36)+SUM('BAU2030'!$AD$39:$AD$47)+SUM('BAU2030'!$AD$50:$AD$56)+SUM('BAU2030'!$AD$59:$AD$68)</f>
        <v>0</v>
      </c>
      <c r="D1023" s="38"/>
      <c r="E1023" s="156"/>
      <c r="F1023" s="156"/>
      <c r="G1023" s="156"/>
      <c r="H1023" s="156"/>
      <c r="J1023" s="156"/>
      <c r="K1023" s="156"/>
      <c r="L1023" s="156"/>
      <c r="M1023" s="156"/>
      <c r="N1023" s="156"/>
      <c r="O1023" s="156"/>
      <c r="S1023" s="7"/>
      <c r="T1023" s="7"/>
      <c r="U1023" s="6"/>
      <c r="V1023" s="295"/>
      <c r="W1023" s="295"/>
      <c r="X1023" s="295"/>
      <c r="Y1023" s="295"/>
      <c r="Z1023" s="295"/>
      <c r="AA1023" s="295"/>
      <c r="AB1023" s="295"/>
      <c r="AC1023" s="295"/>
      <c r="AD1023" s="295"/>
      <c r="AE1023" s="295"/>
      <c r="AF1023" s="295"/>
      <c r="AG1023" s="295"/>
      <c r="AH1023" s="6"/>
      <c r="AI1023" s="6"/>
      <c r="AJ1023" s="6"/>
      <c r="AK1023" s="6"/>
      <c r="AL1023" s="6"/>
      <c r="AM1023" s="6"/>
      <c r="AN1023" s="6"/>
      <c r="AO1023" s="6"/>
      <c r="AP1023" s="6"/>
      <c r="AQ1023" s="6"/>
      <c r="AR1023" s="6"/>
      <c r="AS1023" s="6"/>
      <c r="AT1023" s="6"/>
      <c r="AU1023" s="6"/>
      <c r="AV1023" s="6"/>
      <c r="AW1023" s="6"/>
      <c r="AX1023" s="6"/>
      <c r="AY1023" s="6"/>
    </row>
    <row r="1024" spans="1:51" x14ac:dyDescent="0.2">
      <c r="B1024" s="143" t="s">
        <v>197</v>
      </c>
      <c r="C1024" s="288">
        <f>'BAU2030'!$AD$27</f>
        <v>-6.9644848000000037E-2</v>
      </c>
      <c r="D1024" s="38"/>
      <c r="E1024" s="156"/>
      <c r="F1024" s="156"/>
      <c r="G1024" s="156"/>
      <c r="H1024" s="156"/>
      <c r="J1024" s="156"/>
      <c r="K1024" s="156"/>
      <c r="L1024" s="156"/>
      <c r="M1024" s="156"/>
      <c r="N1024" s="156"/>
      <c r="O1024" s="156"/>
      <c r="S1024" s="7"/>
      <c r="T1024" s="7"/>
      <c r="U1024" s="6"/>
      <c r="V1024" s="6"/>
      <c r="W1024" s="6"/>
      <c r="X1024" s="6"/>
      <c r="Y1024" s="6"/>
      <c r="Z1024" s="6"/>
      <c r="AA1024" s="6"/>
      <c r="AB1024" s="295"/>
      <c r="AC1024" s="295"/>
      <c r="AD1024" s="295"/>
      <c r="AE1024" s="295"/>
      <c r="AF1024" s="295"/>
      <c r="AG1024" s="295"/>
      <c r="AH1024" s="6"/>
      <c r="AI1024" s="6"/>
      <c r="AJ1024" s="6"/>
      <c r="AK1024" s="6"/>
      <c r="AL1024" s="6"/>
      <c r="AM1024" s="6"/>
      <c r="AN1024" s="6"/>
      <c r="AO1024" s="6"/>
      <c r="AP1024" s="6"/>
      <c r="AQ1024" s="6"/>
      <c r="AR1024" s="6"/>
      <c r="AS1024" s="6"/>
      <c r="AT1024" s="6"/>
      <c r="AU1024" s="6"/>
      <c r="AV1024" s="6"/>
      <c r="AW1024" s="6"/>
      <c r="AX1024" s="6"/>
      <c r="AY1024" s="6"/>
    </row>
    <row r="1025" spans="2:51" x14ac:dyDescent="0.2">
      <c r="B1025" s="143" t="s">
        <v>219</v>
      </c>
      <c r="C1025" s="288">
        <f>'BAU2030'!$AD$28</f>
        <v>0</v>
      </c>
      <c r="D1025" s="38"/>
      <c r="E1025" s="156"/>
      <c r="F1025" s="156"/>
      <c r="G1025" s="156"/>
      <c r="H1025" s="156"/>
      <c r="J1025" s="156"/>
      <c r="K1025" s="156"/>
      <c r="L1025" s="156"/>
      <c r="M1025" s="156"/>
      <c r="N1025" s="156"/>
      <c r="O1025" s="156"/>
      <c r="S1025" s="7"/>
      <c r="T1025" s="7"/>
      <c r="U1025" s="6"/>
      <c r="V1025" s="6"/>
      <c r="W1025" s="6"/>
      <c r="X1025" s="6"/>
      <c r="Y1025" s="6"/>
      <c r="Z1025" s="6"/>
      <c r="AA1025" s="6"/>
      <c r="AB1025" s="295"/>
      <c r="AC1025" s="295"/>
      <c r="AD1025" s="295"/>
      <c r="AE1025" s="295"/>
      <c r="AF1025" s="295"/>
      <c r="AG1025" s="295"/>
      <c r="AH1025" s="6"/>
      <c r="AI1025" s="6"/>
      <c r="AJ1025" s="6"/>
      <c r="AK1025" s="6"/>
      <c r="AL1025" s="6"/>
      <c r="AM1025" s="6"/>
      <c r="AN1025" s="6"/>
      <c r="AO1025" s="6"/>
      <c r="AP1025" s="6"/>
      <c r="AQ1025" s="6"/>
      <c r="AR1025" s="6"/>
      <c r="AS1025" s="6"/>
      <c r="AT1025" s="6"/>
      <c r="AU1025" s="6"/>
      <c r="AV1025" s="6"/>
      <c r="AW1025" s="6"/>
      <c r="AX1025" s="6"/>
      <c r="AY1025" s="6"/>
    </row>
    <row r="1026" spans="2:51" x14ac:dyDescent="0.2">
      <c r="B1026" s="143" t="s">
        <v>198</v>
      </c>
      <c r="C1026" s="288">
        <f>'BAU2030'!$AD$26+'BAU2030'!$AD$29+'BAU2030'!$AD$30</f>
        <v>18.487000000000002</v>
      </c>
      <c r="D1026" s="38"/>
      <c r="E1026" s="156"/>
      <c r="F1026" s="156"/>
      <c r="G1026" s="156"/>
      <c r="H1026" s="156"/>
      <c r="J1026" s="156"/>
      <c r="K1026" s="156"/>
      <c r="L1026" s="156"/>
      <c r="M1026" s="156"/>
      <c r="N1026" s="156"/>
      <c r="O1026" s="156"/>
      <c r="S1026" s="7"/>
      <c r="T1026" s="7"/>
      <c r="U1026" s="6"/>
      <c r="V1026" s="295"/>
      <c r="W1026" s="295"/>
      <c r="X1026" s="295"/>
      <c r="Y1026" s="295"/>
      <c r="Z1026" s="295"/>
      <c r="AA1026" s="295"/>
      <c r="AB1026" s="295"/>
      <c r="AC1026" s="295"/>
      <c r="AD1026" s="295"/>
      <c r="AE1026" s="295"/>
      <c r="AF1026" s="295"/>
      <c r="AG1026" s="295"/>
      <c r="AH1026" s="6"/>
      <c r="AI1026" s="6"/>
      <c r="AJ1026" s="6"/>
      <c r="AK1026" s="6"/>
      <c r="AL1026" s="6"/>
      <c r="AM1026" s="6"/>
      <c r="AN1026" s="6"/>
      <c r="AO1026" s="6"/>
      <c r="AP1026" s="6"/>
      <c r="AQ1026" s="6"/>
      <c r="AR1026" s="6"/>
      <c r="AS1026" s="6"/>
      <c r="AT1026" s="6"/>
      <c r="AU1026" s="6"/>
      <c r="AV1026" s="6"/>
      <c r="AW1026" s="6"/>
      <c r="AX1026" s="6"/>
      <c r="AY1026" s="6"/>
    </row>
    <row r="1027" spans="2:51" x14ac:dyDescent="0.2">
      <c r="B1027" s="143" t="s">
        <v>157</v>
      </c>
      <c r="C1027" s="288">
        <f>'BAU2030'!$AD$15</f>
        <v>44.480998126055781</v>
      </c>
      <c r="D1027" s="38"/>
      <c r="E1027" s="146"/>
      <c r="F1027" s="146"/>
      <c r="G1027" s="146"/>
      <c r="H1027" s="146"/>
      <c r="J1027" s="146"/>
      <c r="K1027" s="146"/>
      <c r="L1027" s="146"/>
      <c r="M1027" s="146"/>
      <c r="N1027" s="146"/>
      <c r="O1027" s="146"/>
      <c r="S1027" s="283"/>
      <c r="T1027" s="283"/>
      <c r="U1027" s="6"/>
      <c r="V1027" s="283"/>
      <c r="W1027" s="283"/>
      <c r="X1027" s="283"/>
      <c r="Y1027" s="283"/>
      <c r="Z1027" s="283"/>
      <c r="AA1027" s="283"/>
      <c r="AB1027" s="283"/>
      <c r="AC1027" s="283"/>
      <c r="AD1027" s="283"/>
      <c r="AE1027" s="283"/>
      <c r="AF1027" s="283"/>
      <c r="AG1027" s="283"/>
      <c r="AH1027" s="6"/>
      <c r="AI1027" s="6"/>
      <c r="AJ1027" s="6"/>
      <c r="AK1027" s="6"/>
      <c r="AL1027" s="6"/>
      <c r="AM1027" s="6"/>
      <c r="AN1027" s="6"/>
      <c r="AO1027" s="6"/>
      <c r="AP1027" s="6"/>
      <c r="AQ1027" s="6"/>
      <c r="AR1027" s="6"/>
      <c r="AS1027" s="6"/>
      <c r="AT1027" s="6"/>
      <c r="AU1027" s="6"/>
      <c r="AV1027" s="6"/>
      <c r="AW1027" s="6"/>
      <c r="AX1027" s="6"/>
      <c r="AY1027" s="6"/>
    </row>
    <row r="1028" spans="2:51" x14ac:dyDescent="0.2">
      <c r="B1028" s="19" t="s">
        <v>147</v>
      </c>
      <c r="C1028" s="22">
        <f>SUM(C1019:C1027)</f>
        <v>62.898353278055779</v>
      </c>
      <c r="D1028" s="16">
        <f>SUM(D1019:D1027)</f>
        <v>62.898353278055787</v>
      </c>
      <c r="E1028" s="146"/>
      <c r="F1028" s="296"/>
      <c r="G1028" s="156"/>
      <c r="H1028" s="15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row>
    <row r="1029" spans="2:51" x14ac:dyDescent="0.2">
      <c r="I1029" s="297"/>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row>
    <row r="1030" spans="2:51" x14ac:dyDescent="0.2">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row>
    <row r="1031" spans="2:51" x14ac:dyDescent="0.2">
      <c r="B1031" s="226" t="s">
        <v>222</v>
      </c>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row>
    <row r="1032" spans="2:51" x14ac:dyDescent="0.2">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row>
    <row r="1033" spans="2:51" x14ac:dyDescent="0.2">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row>
    <row r="1034" spans="2:51" x14ac:dyDescent="0.2">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row>
    <row r="1035" spans="2:51" x14ac:dyDescent="0.2">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row>
    <row r="1036" spans="2:51" x14ac:dyDescent="0.2">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row>
    <row r="1037" spans="2:51" x14ac:dyDescent="0.2">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row>
    <row r="1038" spans="2:51" x14ac:dyDescent="0.2">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row>
    <row r="1039" spans="2:51" x14ac:dyDescent="0.2">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row>
    <row r="1040" spans="2:51" x14ac:dyDescent="0.2">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row>
    <row r="1041" spans="19:51" x14ac:dyDescent="0.2">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6"/>
    </row>
    <row r="1042" spans="19:51" x14ac:dyDescent="0.2">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6"/>
    </row>
    <row r="1043" spans="19:51" x14ac:dyDescent="0.2">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6"/>
    </row>
    <row r="1044" spans="19:51" x14ac:dyDescent="0.2">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6"/>
    </row>
    <row r="1045" spans="19:51" x14ac:dyDescent="0.2">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row>
    <row r="1046" spans="19:51" x14ac:dyDescent="0.2">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row>
    <row r="1047" spans="19:51" x14ac:dyDescent="0.2">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row>
    <row r="1048" spans="19:51" x14ac:dyDescent="0.2">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6"/>
    </row>
    <row r="1049" spans="19:51" x14ac:dyDescent="0.2">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6"/>
    </row>
    <row r="1050" spans="19:51" x14ac:dyDescent="0.2">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row>
    <row r="1051" spans="19:51" x14ac:dyDescent="0.2">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row>
    <row r="1052" spans="19:51" x14ac:dyDescent="0.2">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row>
    <row r="1053" spans="19:51" x14ac:dyDescent="0.2">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6"/>
    </row>
    <row r="1054" spans="19:51" x14ac:dyDescent="0.2">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row>
    <row r="1055" spans="19:51" x14ac:dyDescent="0.2">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row>
    <row r="1056" spans="19:51" x14ac:dyDescent="0.2">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row>
    <row r="1057" spans="2:51" x14ac:dyDescent="0.2">
      <c r="C1057" s="216"/>
      <c r="D1057" s="21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row>
    <row r="1058" spans="2:51" x14ac:dyDescent="0.2">
      <c r="C1058" s="216"/>
      <c r="D1058" s="21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row>
    <row r="1059" spans="2:51" x14ac:dyDescent="0.2">
      <c r="C1059" s="216"/>
      <c r="D1059" s="21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row>
    <row r="1060" spans="2:51" x14ac:dyDescent="0.2">
      <c r="E1060" s="156"/>
      <c r="F1060" s="156"/>
      <c r="G1060" s="156"/>
      <c r="H1060" s="156"/>
      <c r="I1060" s="156"/>
      <c r="J1060" s="156"/>
      <c r="K1060" s="156"/>
      <c r="L1060" s="156"/>
      <c r="M1060" s="156"/>
      <c r="N1060" s="156"/>
      <c r="O1060" s="156"/>
      <c r="S1060" s="7"/>
      <c r="T1060" s="7"/>
      <c r="U1060" s="7"/>
      <c r="V1060" s="7"/>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row>
    <row r="1061" spans="2:51" x14ac:dyDescent="0.2">
      <c r="B1061" s="141" t="s">
        <v>344</v>
      </c>
      <c r="C1061" s="142" t="s">
        <v>129</v>
      </c>
      <c r="D1061" s="142" t="s">
        <v>129</v>
      </c>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6"/>
    </row>
    <row r="1062" spans="2:51" x14ac:dyDescent="0.2">
      <c r="B1062" s="145"/>
      <c r="C1062" s="142" t="s">
        <v>191</v>
      </c>
      <c r="D1062" s="142" t="s">
        <v>192</v>
      </c>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row>
    <row r="1063" spans="2:51" x14ac:dyDescent="0.2">
      <c r="B1063" s="145" t="s">
        <v>193</v>
      </c>
      <c r="C1063" s="38"/>
      <c r="D1063" s="38">
        <f>SUM('BAU2030'!$AE$8:$AE$14)+'BAU2030'!$AE$69+'BAU2030'!$AE$78</f>
        <v>57.772137485894234</v>
      </c>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6"/>
    </row>
    <row r="1064" spans="2:51" x14ac:dyDescent="0.2">
      <c r="B1064" s="145" t="s">
        <v>194</v>
      </c>
      <c r="C1064" s="38"/>
      <c r="D1064" s="38">
        <f>-(SUM('BAU2030'!$AD$8:$AD$14)+SUM('BAU2030'!$AE$8:$AE$14))-('BAU2030'!$AD$48+'BAU2030'!$AE$48)-('BAU2030'!$AD$49+'BAU2030'!$AE$49)-('BAU2030'!$AD$57+'BAU2030'!$AE$57)-('BAU2030'!$AD$58+'BAU2030'!$AE$58)-('BAU2030'!$AD$78+'BAU2030'!$AE$78)</f>
        <v>5.1262157921615525</v>
      </c>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6"/>
    </row>
    <row r="1065" spans="2:51" x14ac:dyDescent="0.2">
      <c r="B1065" s="143" t="s">
        <v>195</v>
      </c>
      <c r="C1065" s="38"/>
      <c r="D1065" s="38">
        <f>'BAU2030'!$AE$37+'BAU2030'!$AE$38+'BAU2030'!$AE$48+'BAU2030'!$AE$49+'BAU2030'!$AE$57+'BAU2030'!$AE$58</f>
        <v>0</v>
      </c>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6"/>
    </row>
    <row r="1066" spans="2:51" x14ac:dyDescent="0.2">
      <c r="B1066" s="143"/>
      <c r="C1066" s="38"/>
      <c r="D1066" s="38"/>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6"/>
    </row>
    <row r="1067" spans="2:51" x14ac:dyDescent="0.2">
      <c r="B1067" s="145" t="s">
        <v>135</v>
      </c>
      <c r="C1067" s="38">
        <f>'BAU2030'!$E$33*'BAU2030'!$Z$33/100+'BAU2030'!$E$34*'BAU2030'!$Z$34/100+'BAU2030'!$E$35*'BAU2030'!$Z$35/100+'BAU2030'!$E$36*'BAU2030'!$Z$36/100+'BAU2030'!$E$39*'BAU2030'!$Z$39/100+'BAU2030'!$E$40*'BAU2030'!$Z$40/100+'BAU2030'!$E$41*'BAU2030'!$Z$41/100+'BAU2030'!$E$42*'BAU2030'!$Z$42/100+'BAU2030'!$E$43*'BAU2030'!$Z$43/100+'BAU2030'!$E$44*'BAU2030'!$Z$44/100+'BAU2030'!$E$45*'BAU2030'!$Z$45/100+'BAU2030'!$E$46*'BAU2030'!$Z$46/100+'BAU2030'!$E$47*'BAU2030'!$Z$47/100+'BAU2030'!$E$48*'BAU2030'!$Z$48/100+'BAU2030'!$E$49*'BAU2030'!$Z$49/100+'BAU2030'!$E$50*'BAU2030'!$Z$50/100+'BAU2030'!$E$51*'BAU2030'!$Z$51/100+'BAU2030'!$E$52*'BAU2030'!$Z$52/100+'BAU2030'!$E$32*'BAU2030'!$Z$32/100+'BAU2030'!$E$53*'BAU2030'!$Z$53/100+'BAU2030'!$E$54*'BAU2030'!$Z$54/100+'BAU2030'!$E$55*'BAU2030'!$Z$55/100+'BAU2030'!$E$56*'BAU2030'!$Z$56/100+'BAU2030'!$E$57*'BAU2030'!$Z$57/100+'BAU2030'!$E$58*'BAU2030'!$Z$58/100+'BAU2030'!$E$59*'BAU2030'!$Z$59/100+'BAU2030'!$E$60*'BAU2030'!$Z$60/100+'BAU2030'!$E$61*'BAU2030'!$Z$61/100+'BAU2030'!$E$62*'BAU2030'!$Z$62/100+'BAU2030'!$E$63*'BAU2030'!$Z$63/100+'BAU2030'!$E$64*'BAU2030'!$Z$64/100+'BAU2030'!$E$65*'BAU2030'!$Z$65/100+'BAU2030'!$E$66*'BAU2030'!$Z$66/100+'BAU2030'!$E$67*'BAU2030'!$Z$67/100+'BAU2030'!$E$68*'BAU2030'!$Z$68/100</f>
        <v>0</v>
      </c>
      <c r="D1067" s="38"/>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row>
    <row r="1068" spans="2:51" x14ac:dyDescent="0.2">
      <c r="B1068" s="145" t="s">
        <v>132</v>
      </c>
      <c r="C1068" s="38">
        <f>'BAU2030'!$C$33*'BAU2030'!$Z$33/100+'BAU2030'!$C$34*'BAU2030'!$Z$34/100+'BAU2030'!$C$35*'BAU2030'!$Z$35/100+'BAU2030'!$C$36*'BAU2030'!$Z$36/100+'BAU2030'!$C$39*'BAU2030'!$Z$39/100+'BAU2030'!$C$40*'BAU2030'!$Z$40/100+'BAU2030'!$C$41*'BAU2030'!$Z$41/100+'BAU2030'!$C$42*'BAU2030'!$Z$42/100+'BAU2030'!$C$43*'BAU2030'!$Z$43/100+'BAU2030'!$C$44*'BAU2030'!$Z$44/100+'BAU2030'!$C$45*'BAU2030'!$Z$45/100+'BAU2030'!$C$46*'BAU2030'!$Z$46/100+'BAU2030'!$C$47*'BAU2030'!$Z$47/100+'BAU2030'!$C$48*'BAU2030'!$Z$48/100+'BAU2030'!$C$49*'BAU2030'!$Z$49/100+'BAU2030'!$C$50*'BAU2030'!$Z$50/100+'BAU2030'!$C$51*'BAU2030'!$Z$51/100+'BAU2030'!$C$52*'BAU2030'!$Z$52/100+'BAU2030'!$C$32*'BAU2030'!$Z$32/100+'BAU2030'!$C$53*'BAU2030'!$Z$53/100+'BAU2030'!$C$54*'BAU2030'!$Z$54/100+'BAU2030'!$C$55*'BAU2030'!$Z$55/100+'BAU2030'!$C$56*'BAU2030'!$Z$56/100+'BAU2030'!$C$57*'BAU2030'!$Z$57/100+'BAU2030'!$C$58*'BAU2030'!$Z$58/100+'BAU2030'!$C$59*'BAU2030'!$Z$59/100+'BAU2030'!$C$60*'BAU2030'!$Z$60/100+'BAU2030'!$C$61*'BAU2030'!$Z$61/100+'BAU2030'!$C$62*'BAU2030'!$Z$62/100+'BAU2030'!$C$63*'BAU2030'!$Z$63/100+'BAU2030'!$C$64*'BAU2030'!$Z$64/100+'BAU2030'!$C$65*'BAU2030'!$Z$65/100+'BAU2030'!$C$66*'BAU2030'!$Z$66/100+'BAU2030'!$C$67*'BAU2030'!$Z$67/100+'BAU2030'!$C$68*'BAU2030'!$Z$68/100</f>
        <v>0</v>
      </c>
      <c r="D1068" s="38"/>
      <c r="J1068" s="15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row>
    <row r="1069" spans="2:51" x14ac:dyDescent="0.2">
      <c r="B1069" s="145" t="s">
        <v>134</v>
      </c>
      <c r="C1069" s="38">
        <f>'BAU2030'!$D$33*'BAU2030'!$Z$33/100+'BAU2030'!$D$34*'BAU2030'!$Z$34/100+'BAU2030'!$D$35*'BAU2030'!$Z$35/100+'BAU2030'!$D$36*'BAU2030'!$Z$36/100+'BAU2030'!$D$39*'BAU2030'!$Z$39/100+'BAU2030'!$D$40*'BAU2030'!$Z$40/100+'BAU2030'!$D$41*'BAU2030'!$Z$41/100+'BAU2030'!$D$42*'BAU2030'!$Z$42/100+'BAU2030'!$D$43*'BAU2030'!$Z$43/100+'BAU2030'!$D$44*'BAU2030'!$Z$44/100+'BAU2030'!$D$45*'BAU2030'!$Z$45/100+'BAU2030'!$D$46*'BAU2030'!$Z$46/100+'BAU2030'!$D$47*'BAU2030'!$Z$47/100+'BAU2030'!$D$48*'BAU2030'!$Z$48/100+'BAU2030'!$D$49*'BAU2030'!$Z$49/100+'BAU2030'!$D$50*'BAU2030'!$Z$50/100+'BAU2030'!$D$51*'BAU2030'!$Z$51/100+'BAU2030'!$D$52*'BAU2030'!$Z$52/100+'BAU2030'!$D$32*'BAU2030'!$Z$32/100+'BAU2030'!$D$53*'BAU2030'!$Z$53/100+'BAU2030'!$D$54*'BAU2030'!$Z$54/100+'BAU2030'!$D$55*'BAU2030'!$Z$55/100+'BAU2030'!$D$56*'BAU2030'!$Z$56/100+'BAU2030'!$D$57*'BAU2030'!$Z$57/100+'BAU2030'!$D$58*'BAU2030'!$Z$58/100+'BAU2030'!$D$59*'BAU2030'!$Z$59/100+'BAU2030'!$D$60*'BAU2030'!$Z$60/100+'BAU2030'!$D$61*'BAU2030'!$Z$61/100+'BAU2030'!$D$62*'BAU2030'!$Z$62/100+'BAU2030'!$D$63*'BAU2030'!$Z$63/100+'BAU2030'!$D$64*'BAU2030'!$Z$64/100+'BAU2030'!$D$65*'BAU2030'!$Z$65/100+'BAU2030'!$D$66*'BAU2030'!$Z$66/100+'BAU2030'!$D$67*'BAU2030'!$Z$67/100+'BAU2030'!$D$68*'BAU2030'!$Z$68/100</f>
        <v>0</v>
      </c>
      <c r="D1069" s="38"/>
      <c r="F1069" s="137"/>
      <c r="G1069" s="137"/>
      <c r="J1069" s="15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row>
    <row r="1070" spans="2:51" x14ac:dyDescent="0.2">
      <c r="B1070" s="145" t="s">
        <v>199</v>
      </c>
      <c r="C1070" s="38">
        <f>'BAU2030'!$I$33*'BAU2030'!$Z$33/100+'BAU2030'!$I$34*'BAU2030'!$Z$34/100+'BAU2030'!$I$35*'BAU2030'!$Z$35/100+'BAU2030'!$I$36*'BAU2030'!$Z$36/100+'BAU2030'!$I$39*'BAU2030'!$Z$39/100+'BAU2030'!$I$40*'BAU2030'!$Z$40/100+'BAU2030'!$I$41*'BAU2030'!$Z$41/100+'BAU2030'!$I$42*'BAU2030'!$Z$42/100+'BAU2030'!$I$43*'BAU2030'!$Z$43/100+'BAU2030'!$I$44*'BAU2030'!$Z$44/100+'BAU2030'!$I$45*'BAU2030'!$Z$45/100+'BAU2030'!$I$46*'BAU2030'!$Z$46/100+'BAU2030'!$I$47*'BAU2030'!$Z$47/100+'BAU2030'!$I$48*'BAU2030'!$Z$48/100+'BAU2030'!$I$49*'BAU2030'!$Z$49/100+'BAU2030'!$I$50*'BAU2030'!$Z$50/100+'BAU2030'!$I$51*'BAU2030'!$Z$51/100+'BAU2030'!$I$52*'BAU2030'!$Z$52/100+'BAU2030'!$I$32*'BAU2030'!$Z$32/100+'BAU2030'!$I$53*'BAU2030'!$Z$53/100+'BAU2030'!$I$54*'BAU2030'!$Z$54/100+'BAU2030'!$I$55*'BAU2030'!$Z$55/100+'BAU2030'!$I$56*'BAU2030'!$Z$56/100+'BAU2030'!$I$57*'BAU2030'!$Z$57/100+'BAU2030'!$I$58*'BAU2030'!$Z$58/100+'BAU2030'!$I$59*'BAU2030'!$Z$59/100+'BAU2030'!$I$60*'BAU2030'!$Z$60/100+'BAU2030'!$I$61*'BAU2030'!$Z$61/100+'BAU2030'!$I$62*'BAU2030'!$Z$62/100+'BAU2030'!$I$63*'BAU2030'!$Z$63/100+'BAU2030'!$I$64*'BAU2030'!$Z$64/100+'BAU2030'!$I$65*'BAU2030'!$Z$65/100+'BAU2030'!$I$66*'BAU2030'!$Z$66/100+'BAU2030'!$I$67*'BAU2030'!$Z$67/100+'BAU2030'!$I$68*'BAU2030'!$Z$68/100</f>
        <v>0</v>
      </c>
      <c r="D1070" s="38"/>
      <c r="F1070" s="137"/>
      <c r="G1070" s="137"/>
      <c r="J1070" s="15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row>
    <row r="1071" spans="2:51" x14ac:dyDescent="0.2">
      <c r="B1071" s="145" t="s">
        <v>138</v>
      </c>
      <c r="C1071" s="38">
        <f>'BAU2030'!$W$33*'BAU2030'!$Z$33/100+'BAU2030'!$W$34*'BAU2030'!$Z$34/100+'BAU2030'!$W$35*'BAU2030'!$Z$35/100+'BAU2030'!$W$36*'BAU2030'!$Z$36/100+'BAU2030'!$W$39*'BAU2030'!$Z$39/100+'BAU2030'!$W$40*'BAU2030'!$Z$40/100+'BAU2030'!$W$41*'BAU2030'!$Z$41/100+'BAU2030'!$W$42*'BAU2030'!$Z$42/100+'BAU2030'!$W$43*'BAU2030'!$Z$43/100+'BAU2030'!$W$44*'BAU2030'!$Z$44/100+'BAU2030'!$W$45*'BAU2030'!$Z$45/100+'BAU2030'!$W$46*'BAU2030'!$Z$46/100+'BAU2030'!$W$47*'BAU2030'!$Z$47/100+'BAU2030'!$W$48*'BAU2030'!$Z$48/100+'BAU2030'!$W$49*'BAU2030'!$Z$49/100+'BAU2030'!$W$50*'BAU2030'!$Z$50/100+'BAU2030'!$W$51*'BAU2030'!$Z$51/100+'BAU2030'!$W$52*'BAU2030'!$Z$52/100+'BAU2030'!$W$32*'BAU2030'!$Z$32/100+'BAU2030'!$W$53*'BAU2030'!$Z$53/100+'BAU2030'!$W$54*'BAU2030'!$Z$54/100+'BAU2030'!$W$55*'BAU2030'!$Z$55/100+'BAU2030'!$W$56*'BAU2030'!$Z$56/100+'BAU2030'!$W$57*'BAU2030'!$Z$57/100+'BAU2030'!$W$58*'BAU2030'!$Z$58/100+'BAU2030'!$W$59*'BAU2030'!$Z$59/100+'BAU2030'!$W$60*'BAU2030'!$Z$60/100+'BAU2030'!$W$61*'BAU2030'!$Z$61/100+'BAU2030'!$W$62*'BAU2030'!$Z$62/100+'BAU2030'!$W$63*'BAU2030'!$Z$63/100+'BAU2030'!$W$64*'BAU2030'!$Z$64/100+'BAU2030'!$W$65*'BAU2030'!$Z$65/100+'BAU2030'!$W$66*'BAU2030'!$Z$66/100+'BAU2030'!$W$67*'BAU2030'!$Z$67/100+'BAU2030'!$W$68*'BAU2030'!$Z$68/100</f>
        <v>0</v>
      </c>
      <c r="D1071" s="38"/>
      <c r="J1071" s="15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6"/>
    </row>
    <row r="1072" spans="2:51" x14ac:dyDescent="0.2">
      <c r="B1072" s="145" t="s">
        <v>140</v>
      </c>
      <c r="C1072" s="38">
        <f>'BAU2030'!$U$33*'BAU2030'!$Z$33/100+'BAU2030'!$U$34*'BAU2030'!$Z$34/100+'BAU2030'!$U$35*'BAU2030'!$Z$35/100+'BAU2030'!$U$36*'BAU2030'!$Z$36/100+'BAU2030'!$U$39*'BAU2030'!$Z$39/100+'BAU2030'!$U$40*'BAU2030'!$Z$40/100+'BAU2030'!$U$41*'BAU2030'!$Z$41/100+'BAU2030'!$U$42*'BAU2030'!$Z$42/100+'BAU2030'!$U$43*'BAU2030'!$Z$43/100+'BAU2030'!$U$44*'BAU2030'!$Z$44/100+'BAU2030'!$U$45*'BAU2030'!$Z$45/100+'BAU2030'!$U$46*'BAU2030'!$Z$46/100+'BAU2030'!$U$47*'BAU2030'!$Z$47/100+'BAU2030'!$U$48*'BAU2030'!$Z$48/100+'BAU2030'!$U$49*'BAU2030'!$Z$49/100+'BAU2030'!$U$50*'BAU2030'!$Z$50/100+'BAU2030'!$U$51*'BAU2030'!$Z$51/100+'BAU2030'!$U$52*'BAU2030'!$Z$52/100+'BAU2030'!$U$32*'BAU2030'!$Z$32/100+'BAU2030'!$U$53*'BAU2030'!$Z$53/100+'BAU2030'!$U$54*'BAU2030'!$Z$54/100+'BAU2030'!$U$55*'BAU2030'!$Z$55/100+'BAU2030'!$U$56*'BAU2030'!$Z$56/100+'BAU2030'!$U$57*'BAU2030'!$Z$57/100+'BAU2030'!$U$58*'BAU2030'!$Z$58/100+'BAU2030'!$U$59*'BAU2030'!$Z$59/100+'BAU2030'!$U$60*'BAU2030'!$Z$60/100+'BAU2030'!$U$61*'BAU2030'!$Z$61/100+'BAU2030'!$U$62*'BAU2030'!$Z$62/100+'BAU2030'!$U$63*'BAU2030'!$Z$63/100+'BAU2030'!$U$64*'BAU2030'!$Z$64/100+'BAU2030'!$U$65*'BAU2030'!$Z$65/100+'BAU2030'!$U$66*'BAU2030'!$Z$66/100+'BAU2030'!$U$67*'BAU2030'!$Z$67/100+'BAU2030'!$U$68*'BAU2030'!$Z$68/100</f>
        <v>0</v>
      </c>
      <c r="D1072" s="38"/>
      <c r="J1072" s="15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6"/>
    </row>
    <row r="1073" spans="2:51" x14ac:dyDescent="0.2">
      <c r="B1073" s="145" t="s">
        <v>141</v>
      </c>
      <c r="C1073" s="38">
        <f>'BAU2030'!$O$33*'BAU2030'!$Z$33/100+'BAU2030'!$P$34*'BAU2030'!$Z$34/100+'BAU2030'!$P$35*'BAU2030'!$Z$35/100+'BAU2030'!$P$36*'BAU2030'!$Z$36/100+'BAU2030'!$P$39*'BAU2030'!$Z$39/100+'BAU2030'!$P$40*'BAU2030'!$Z$40/100+'BAU2030'!$P$41*'BAU2030'!$Z$41/100+'BAU2030'!$P$42*'BAU2030'!$Z$42/100+'BAU2030'!$P$43*'BAU2030'!$Z$43/100+'BAU2030'!$P$44*'BAU2030'!$Z$44/100+'BAU2030'!$P$45*'BAU2030'!$Z$45/100+'BAU2030'!$P$46*'BAU2030'!$Z$46/100+'BAU2030'!$P$47*'BAU2030'!$Z$47/100+'BAU2030'!$P$48*'BAU2030'!$Z$48/100+'BAU2030'!$P$49*'BAU2030'!$Z$49/100+'BAU2030'!$P$50*'BAU2030'!$Z$50/100+'BAU2030'!$P$51*'BAU2030'!$Z$51/100+'BAU2030'!$P$52*'BAU2030'!$Z$52/100+'BAU2030'!$P$32*'BAU2030'!$Z$32/100+'BAU2030'!$P$53*'BAU2030'!$Z$53/100+'BAU2030'!$P$54*'BAU2030'!$Z$54/100+'BAU2030'!$P$55*'BAU2030'!$Z$55/100+'BAU2030'!$P$56*'BAU2030'!$Z$56/100+'BAU2030'!$P$57*'BAU2030'!$Z$57/100+'BAU2030'!$P$58*'BAU2030'!$Z$58/100+'BAU2030'!$P$59*'BAU2030'!$Z$59/100+'BAU2030'!$P$60*'BAU2030'!$Z$60/100+'BAU2030'!$P$61*'BAU2030'!$Z$61/100+'BAU2030'!$P$62*'BAU2030'!$Z$62/100+'BAU2030'!$P$63*'BAU2030'!$Z$63/100+'BAU2030'!$P$64*'BAU2030'!$Z$64/100+'BAU2030'!$P$65*'BAU2030'!$Z$65/100+'BAU2030'!$P$66*'BAU2030'!$Z$66/100+'BAU2030'!$P$67*'BAU2030'!$Z$67/100+'BAU2030'!$P$68*'BAU2030'!$Z$68/100+'BAU2030'!$Q$33*'BAU2030'!$Z$33/100+'BAU2030'!$Q$34*'BAU2030'!$Z$34/100+'BAU2030'!$Q$35*'BAU2030'!$Z$35/100+'BAU2030'!$Q$36*'BAU2030'!$Z$36/100+'BAU2030'!$Q$39*'BAU2030'!$Z$39/100+'BAU2030'!$Q$40*'BAU2030'!$Z$40/100+'BAU2030'!$Q$41*'BAU2030'!$Z$41/100+'BAU2030'!$Q$42*'BAU2030'!$Z$42/100+'BAU2030'!$Q$43*'BAU2030'!$Z$43/100+'BAU2030'!$Q$44*'BAU2030'!$Z$44/100+'BAU2030'!$Q$45*'BAU2030'!$Z$45/100+'BAU2030'!$Q$46*'BAU2030'!$Z$46/100+'BAU2030'!$Q$47*'BAU2030'!$Z$47/100+'BAU2030'!$Q$48*'BAU2030'!$Z$48/100+'BAU2030'!$Q$49*'BAU2030'!$Z$49/100+'BAU2030'!$Q$50*'BAU2030'!$Z$50/100+'BAU2030'!$Q$51*'BAU2030'!$Z$51/100+'BAU2030'!$Q$52*'BAU2030'!$Z$52/100+'BAU2030'!$Q$32*'BAU2030'!$Z$32/100+'BAU2030'!$Q$53*'BAU2030'!$Z$53/100+'BAU2030'!$Q$54*'BAU2030'!$Z$54/100+'BAU2030'!$Q$55*'BAU2030'!$Z$55/100+'BAU2030'!$Q$56*'BAU2030'!$Z$56/100+'BAU2030'!$Q$57*'BAU2030'!$Z$57/100+'BAU2030'!$Q$58*'BAU2030'!$Z$58/100+'BAU2030'!$Q$59*'BAU2030'!$Z$59/100+'BAU2030'!$Q$60*'BAU2030'!$Z$60/100+'BAU2030'!$Q$61*'BAU2030'!$Z$61/100+'BAU2030'!$Q$62*'BAU2030'!$Z$62/100+'BAU2030'!$Q$63*'BAU2030'!$Z$63/100+'BAU2030'!$Q$64*'BAU2030'!$Z$64/100+'BAU2030'!$Q$65*'BAU2030'!$Z$65/100+'BAU2030'!$Q$66*'BAU2030'!$Z$66/100+'BAU2030'!$Q$67*'BAU2030'!$Z$67/100+'BAU2030'!$Q$68*'BAU2030'!$Z$68/100+'BAU2030'!$R$33*'BAU2030'!$Z$33/100+'BAU2030'!$R$34*'BAU2030'!$Z$34/100+'BAU2030'!$R$35*'BAU2030'!$Z$35/100+'BAU2030'!$R$36*'BAU2030'!$Z$36/100+'BAU2030'!$R$39*'BAU2030'!$Z$39/100+'BAU2030'!$R$40*'BAU2030'!$Z$40/100+'BAU2030'!$R$41*'BAU2030'!$Z$41/100+'BAU2030'!$R$42*'BAU2030'!$Z$42/100+'BAU2030'!$R$43*'BAU2030'!$Z$43/100+'BAU2030'!$R$44*'BAU2030'!$Z$44/100+'BAU2030'!$R$45*'BAU2030'!$Z$45/100+'BAU2030'!$R$46*'BAU2030'!$Z$46/100+'BAU2030'!$R$47*'BAU2030'!$Z$47/100+'BAU2030'!$R$48*'BAU2030'!$Z$48/100+'BAU2030'!$R$49*'BAU2030'!$Z$49/100+'BAU2030'!$R$50*'BAU2030'!$Z$50/100+'BAU2030'!$R$51*'BAU2030'!$Z$51/100+'BAU2030'!$R$52*'BAU2030'!$Z$52/100+'BAU2030'!$R$32*'BAU2030'!$Z$32/100+'BAU2030'!$R$53*'BAU2030'!$Z$53/100+'BAU2030'!$R$54*'BAU2030'!$Z$54/100+'BAU2030'!$R$55*'BAU2030'!$Z$55/100+'BAU2030'!$R$56*'BAU2030'!$Z$56/100+'BAU2030'!$R$57*'BAU2030'!$Z$57/100+'BAU2030'!$R$58*'BAU2030'!$Z$58/100+'BAU2030'!$R$59*'BAU2030'!$Z$59/100+'BAU2030'!$R$60*'BAU2030'!$Z$60/100+'BAU2030'!$R$61*'BAU2030'!$Z$61/100+'BAU2030'!$R$62*'BAU2030'!$Z$62/100+'BAU2030'!$R$63*'BAU2030'!$Z$63/100+'BAU2030'!$R$64*'BAU2030'!$Z$64/100+'BAU2030'!$R$65*'BAU2030'!$Z$65/100+'BAU2030'!$R$66*'BAU2030'!$Z$66/100+'BAU2030'!$R$67*'BAU2030'!$Z$67/100+'BAU2030'!$R$68*'BAU2030'!$Z$68/100+'BAU2030'!$S$33*'BAU2030'!$Z$33/100+'BAU2030'!$S$34*'BAU2030'!$Z$34/100+'BAU2030'!$S$35*'BAU2030'!$Z$35/100+'BAU2030'!$S$36*'BAU2030'!$Z$36/100+'BAU2030'!$S$39*'BAU2030'!$Z$39/100+'BAU2030'!$S$40*'BAU2030'!$Z$40/100+'BAU2030'!$S$41*'BAU2030'!$Z$41/100+'BAU2030'!$S$42*'BAU2030'!$Z$42/100+'BAU2030'!$S$43*'BAU2030'!$Z$43/100+'BAU2030'!$S$44*'BAU2030'!$Z$44/100+'BAU2030'!$S$45*'BAU2030'!$Z$45/100+'BAU2030'!$S$46*'BAU2030'!$Z$46/100+'BAU2030'!$S$47*'BAU2030'!$Z$47/100+'BAU2030'!$S$48*'BAU2030'!$Z$48/100+'BAU2030'!$S$49*'BAU2030'!$Z$49/100+'BAU2030'!$S$50*'BAU2030'!$Z$50/100+'BAU2030'!$S$51*'BAU2030'!$Z$51/100+'BAU2030'!$S$52*'BAU2030'!$Z$52/100+'BAU2030'!$S$32*'BAU2030'!$Z$32/100+'BAU2030'!$S$53*'BAU2030'!$Z$53/100+'BAU2030'!$S$54*'BAU2030'!$Z$54/100+'BAU2030'!$S$55*'BAU2030'!$Z$55/100+'BAU2030'!$S$56*'BAU2030'!$Z$56/100+'BAU2030'!$S$57*'BAU2030'!$Z$57/100+'BAU2030'!$S$58*'BAU2030'!$Z$58/100+'BAU2030'!$S$59*'BAU2030'!$Z$59/100+'BAU2030'!$S$60*'BAU2030'!$Z$60/100+'BAU2030'!$S$61*'BAU2030'!$Z$61/100+'BAU2030'!$S$62*'BAU2030'!$Z$62/100+'BAU2030'!$S$63*'BAU2030'!$Z$63/100+'BAU2030'!$S$64*'BAU2030'!$Z$64/100+'BAU2030'!$S$65*'BAU2030'!$Z$65/100+'BAU2030'!$S$66*'BAU2030'!$Z$66/100+'BAU2030'!$S$67*'BAU2030'!$Z$67/100+'BAU2030'!$S$68*'BAU2030'!$Z$68/100</f>
        <v>0</v>
      </c>
      <c r="D1073" s="38"/>
      <c r="J1073" s="15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6"/>
    </row>
    <row r="1074" spans="2:51" x14ac:dyDescent="0.2">
      <c r="B1074" s="145" t="s">
        <v>142</v>
      </c>
      <c r="C1074" s="38">
        <f>SUM('BAU2030'!$J$27:$J$28)</f>
        <v>-6.9644848000000037E-2</v>
      </c>
      <c r="D1074" s="38"/>
      <c r="J1074" s="15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6"/>
    </row>
    <row r="1075" spans="2:51" x14ac:dyDescent="0.2">
      <c r="B1075" s="145" t="s">
        <v>143</v>
      </c>
      <c r="C1075" s="38">
        <f>'BAU2030'!$O$33*'BAU2030'!$Z$33/100+'BAU2030'!$O$34*'BAU2030'!$Z$34/100+'BAU2030'!$O$35*'BAU2030'!$Z$35/100+'BAU2030'!$O$36*'BAU2030'!$Z$36/100+'BAU2030'!$O$39*'BAU2030'!$Z$39/100+'BAU2030'!$O$40*'BAU2030'!$Z$40/100+'BAU2030'!$O$41*'BAU2030'!$Z$41/100+'BAU2030'!$O$42*'BAU2030'!$Z$42/100+'BAU2030'!$O$43*'BAU2030'!$Z$43/100+'BAU2030'!$O$44*'BAU2030'!$Z$44/100+'BAU2030'!$O$45*'BAU2030'!$Z$45/100+'BAU2030'!$O$46*'BAU2030'!$Z$46/100+'BAU2030'!$O$47*'BAU2030'!$Z$47/100+'BAU2030'!$O$48*'BAU2030'!$Z$48/100+'BAU2030'!$O$49*'BAU2030'!$Z$49/100+'BAU2030'!$O$50*'BAU2030'!$Z$50/100+'BAU2030'!$O$51*'BAU2030'!$Z$51/100+'BAU2030'!$O$52*'BAU2030'!$Z$52/100+'BAU2030'!$O$32*'BAU2030'!$Z$32/100+'BAU2030'!$O$53*'BAU2030'!$Z$53/100+'BAU2030'!$O$54*'BAU2030'!$Z$54/100+'BAU2030'!$O$55*'BAU2030'!$Z$55/100+'BAU2030'!$O$56*'BAU2030'!$Z$56/100+'BAU2030'!$O$57*'BAU2030'!$Z$57/100+'BAU2030'!$O$58*'BAU2030'!$Z$58/100+'BAU2030'!$O$59*'BAU2030'!$Z$59/100+'BAU2030'!$O$60*'BAU2030'!$Z$60/100+'BAU2030'!$O$61*'BAU2030'!$Z$61/100+'BAU2030'!$O$62*'BAU2030'!$Z$62/100+'BAU2030'!$O$63*'BAU2030'!$Z$63/100+'BAU2030'!$O$64*'BAU2030'!$Z$64/100+'BAU2030'!$O$65*'BAU2030'!$Z$65/100+'BAU2030'!$O$66*'BAU2030'!$Z$66/100+'BAU2030'!$O$67*'BAU2030'!$Z$67/100+'BAU2030'!$O$68*'BAU2030'!$Z$68/100+'BAU2030'!$T$33*'BAU2030'!$Z$33/100+'BAU2030'!$T$34*'BAU2030'!$Z$34/100+'BAU2030'!$T$35*'BAU2030'!$Z$35/100+'BAU2030'!$T$36*'BAU2030'!$Z$36/100+'BAU2030'!$T$39*'BAU2030'!$Z$39/100+'BAU2030'!$T$40*'BAU2030'!$Z$40/100+'BAU2030'!$T$41*'BAU2030'!$Z$41/100+'BAU2030'!$T$42*'BAU2030'!$Z$42/100+'BAU2030'!$T$43*'BAU2030'!$Z$43/100+'BAU2030'!$T$44*'BAU2030'!$Z$44/100+'BAU2030'!$T$45*'BAU2030'!$Z$45/100+'BAU2030'!$T$46*'BAU2030'!$Z$46/100+'BAU2030'!$T$47*'BAU2030'!$Z$47/100+'BAU2030'!$T$48*'BAU2030'!$Z$48/100+'BAU2030'!$T$49*'BAU2030'!$Z$49/100+'BAU2030'!$T$50*'BAU2030'!$Z$50/100+'BAU2030'!$T$51*'BAU2030'!$Z$51/100+'BAU2030'!$T$52*'BAU2030'!$Z$52/100+'BAU2030'!$T$32*'BAU2030'!$Z$32/100+'BAU2030'!$T$53*'BAU2030'!$Z$53/100+'BAU2030'!$T$54*'BAU2030'!$Z$54/100+'BAU2030'!$T$55*'BAU2030'!$Z$55/100+'BAU2030'!$T$56*'BAU2030'!$Z$56/100+'BAU2030'!$T$57*'BAU2030'!$Z$57/100+'BAU2030'!$T$58*'BAU2030'!$Z$58/100+'BAU2030'!$T$59*'BAU2030'!$Z$59/100+'BAU2030'!$T$60*'BAU2030'!$Z$60/100+'BAU2030'!$T$61*'BAU2030'!$Z$61/100+'BAU2030'!$T$62*'BAU2030'!$Z$62/100+'BAU2030'!$T$63*'BAU2030'!$Z$63/100+'BAU2030'!$T$64*'BAU2030'!$Z$64/100+'BAU2030'!$T$65*'BAU2030'!$Z$65/100+'BAU2030'!$T$66*'BAU2030'!$Z$66/100+'BAU2030'!$T$67*'BAU2030'!$Z$67/100+'BAU2030'!$T$68*'BAU2030'!$Z$68/100+'BAU2030'!$V$33*'BAU2030'!$Z$33/100+'BAU2030'!$V$34*'BAU2030'!$Z$34/100+'BAU2030'!$V$35*'BAU2030'!$Z$35/100+'BAU2030'!$V$36*'BAU2030'!$Z$36/100+'BAU2030'!$V$39*'BAU2030'!$Z$39/100+'BAU2030'!$V$40*'BAU2030'!$Z$40/100+'BAU2030'!$V$41*'BAU2030'!$Z$41/100+'BAU2030'!$V$42*'BAU2030'!$Z$42/100+'BAU2030'!$V$43*'BAU2030'!$Z$43/100+'BAU2030'!$V$44*'BAU2030'!$Z$44/100+'BAU2030'!$V$45*'BAU2030'!$Z$45/100+'BAU2030'!$V$46*'BAU2030'!$Z$46/100+'BAU2030'!$V$47*'BAU2030'!$Z$47/100+'BAU2030'!$V$48*'BAU2030'!$Z$48/100+'BAU2030'!$V$49*'BAU2030'!$Z$49/100+'BAU2030'!$V$50*'BAU2030'!$Z$50/100+'BAU2030'!$V$51*'BAU2030'!$Z$51/100+'BAU2030'!$V$52*'BAU2030'!$Z$52/100+'BAU2030'!$V$32*'BAU2030'!$Z$32/100+'BAU2030'!$V$53*'BAU2030'!$Z$53/100+'BAU2030'!$V$54*'BAU2030'!$Z$54/100+'BAU2030'!$V$55*'BAU2030'!$Z$55/100+'BAU2030'!$V$56*'BAU2030'!$Z$56/100+'BAU2030'!$V$57*'BAU2030'!$Z$57/100+'BAU2030'!$V$58*'BAU2030'!$Z$58/100+'BAU2030'!$V$59*'BAU2030'!$Z$59/100+'BAU2030'!$V$60*'BAU2030'!$Z$60/100+'BAU2030'!$V$61*'BAU2030'!$Z$61/100+'BAU2030'!$V$62*'BAU2030'!$Z$62/100+'BAU2030'!$V$63*'BAU2030'!$Z$63/100+'BAU2030'!$V$64*'BAU2030'!$Z$64/100+'BAU2030'!$V$65*'BAU2030'!$Z$65/100+'BAU2030'!$V$66*'BAU2030'!$Z$66/100+'BAU2030'!$V$67*'BAU2030'!$Z$67/100+'BAU2030'!$V$68*'BAU2030'!$Z$68/100</f>
        <v>0</v>
      </c>
      <c r="D1075" s="38"/>
      <c r="J1075" s="15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row>
    <row r="1076" spans="2:51" x14ac:dyDescent="0.2">
      <c r="B1076" s="145" t="s">
        <v>144</v>
      </c>
      <c r="C1076" s="38">
        <f>'BAU2030'!$L$26*'BAU2030'!$Z$26/100</f>
        <v>18.14</v>
      </c>
      <c r="D1076" s="38"/>
      <c r="J1076" s="15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row>
    <row r="1077" spans="2:51" x14ac:dyDescent="0.2">
      <c r="B1077" s="145" t="s">
        <v>200</v>
      </c>
      <c r="C1077" s="38">
        <f>'BAU2030'!$K$29</f>
        <v>0.34699999999999998</v>
      </c>
      <c r="D1077" s="38"/>
      <c r="J1077" s="15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row>
    <row r="1078" spans="2:51" x14ac:dyDescent="0.2">
      <c r="B1078" s="145" t="s">
        <v>34</v>
      </c>
      <c r="C1078" s="38">
        <f>'BAU2030'!$AD$15</f>
        <v>44.480998126055781</v>
      </c>
      <c r="D1078" s="38"/>
      <c r="J1078" s="15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row>
    <row r="1079" spans="2:51" x14ac:dyDescent="0.2">
      <c r="B1079" s="15" t="s">
        <v>147</v>
      </c>
      <c r="C1079" s="16">
        <f>SUM(C1063:C1078)</f>
        <v>62.898353278055779</v>
      </c>
      <c r="D1079" s="16">
        <f>SUM(D1063:D1078)</f>
        <v>62.898353278055787</v>
      </c>
      <c r="J1079" s="15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row>
    <row r="1080" spans="2:51" x14ac:dyDescent="0.2">
      <c r="B1080" s="226"/>
      <c r="J1080" s="15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row>
    <row r="1081" spans="2:51" x14ac:dyDescent="0.2">
      <c r="B1081" s="226"/>
      <c r="C1081" s="146"/>
      <c r="D1081" s="146"/>
      <c r="J1081" s="15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row>
    <row r="1082" spans="2:51" x14ac:dyDescent="0.2">
      <c r="B1082" s="226" t="s">
        <v>344</v>
      </c>
      <c r="C1082" s="146"/>
      <c r="D1082" s="146"/>
      <c r="J1082" s="15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row>
    <row r="1083" spans="2:51" x14ac:dyDescent="0.2">
      <c r="B1083" s="226"/>
      <c r="C1083" s="146"/>
      <c r="D1083" s="146"/>
      <c r="J1083" s="15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row>
    <row r="1084" spans="2:51" x14ac:dyDescent="0.2">
      <c r="B1084" s="226"/>
      <c r="C1084" s="146"/>
      <c r="D1084" s="146"/>
      <c r="J1084" s="15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row>
    <row r="1085" spans="2:51" x14ac:dyDescent="0.2">
      <c r="B1085" s="226"/>
      <c r="C1085" s="146"/>
      <c r="D1085" s="146"/>
      <c r="J1085" s="15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row>
    <row r="1086" spans="2:51" x14ac:dyDescent="0.2">
      <c r="B1086" s="226"/>
      <c r="C1086" s="146"/>
      <c r="D1086" s="146"/>
      <c r="J1086" s="15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row>
    <row r="1087" spans="2:51" x14ac:dyDescent="0.2">
      <c r="B1087" s="226"/>
      <c r="C1087" s="146"/>
      <c r="D1087" s="146"/>
      <c r="J1087" s="15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row>
    <row r="1088" spans="2:51" x14ac:dyDescent="0.2">
      <c r="B1088" s="226"/>
      <c r="C1088" s="146"/>
      <c r="D1088" s="146"/>
      <c r="J1088" s="15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row>
    <row r="1089" spans="2:51" x14ac:dyDescent="0.2">
      <c r="B1089" s="226"/>
      <c r="C1089" s="146"/>
      <c r="D1089" s="146"/>
      <c r="J1089" s="15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row>
    <row r="1090" spans="2:51" x14ac:dyDescent="0.2">
      <c r="B1090" s="226"/>
      <c r="C1090" s="146"/>
      <c r="D1090" s="146"/>
      <c r="J1090" s="15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row>
    <row r="1091" spans="2:51" x14ac:dyDescent="0.2">
      <c r="B1091" s="226"/>
      <c r="C1091" s="146"/>
      <c r="D1091" s="146"/>
      <c r="J1091" s="15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row>
    <row r="1092" spans="2:51" x14ac:dyDescent="0.2">
      <c r="B1092" s="226"/>
      <c r="C1092" s="146"/>
      <c r="D1092" s="146"/>
      <c r="J1092" s="15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row>
    <row r="1093" spans="2:51" x14ac:dyDescent="0.2">
      <c r="B1093" s="226"/>
      <c r="C1093" s="146"/>
      <c r="D1093" s="146"/>
      <c r="J1093" s="15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row>
    <row r="1094" spans="2:51" x14ac:dyDescent="0.2">
      <c r="B1094" s="226"/>
      <c r="C1094" s="146"/>
      <c r="D1094" s="146"/>
      <c r="J1094" s="15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row>
    <row r="1095" spans="2:51" x14ac:dyDescent="0.2">
      <c r="B1095" s="226"/>
      <c r="C1095" s="146"/>
      <c r="D1095" s="146"/>
      <c r="J1095" s="15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row>
    <row r="1096" spans="2:51" x14ac:dyDescent="0.2">
      <c r="B1096" s="226"/>
      <c r="C1096" s="146"/>
      <c r="D1096" s="146"/>
      <c r="J1096" s="15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row>
    <row r="1097" spans="2:51" x14ac:dyDescent="0.2">
      <c r="B1097" s="226"/>
      <c r="C1097" s="146"/>
      <c r="D1097" s="146"/>
      <c r="J1097" s="15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row>
    <row r="1098" spans="2:51" x14ac:dyDescent="0.2">
      <c r="B1098" s="226"/>
      <c r="C1098" s="146"/>
      <c r="D1098" s="146"/>
      <c r="J1098" s="15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row>
    <row r="1099" spans="2:51" x14ac:dyDescent="0.2">
      <c r="B1099" s="226"/>
      <c r="C1099" s="146"/>
      <c r="D1099" s="146"/>
      <c r="J1099" s="15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row>
    <row r="1100" spans="2:51" x14ac:dyDescent="0.2">
      <c r="B1100" s="226"/>
      <c r="C1100" s="146"/>
      <c r="D1100" s="146"/>
      <c r="J1100" s="15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row>
    <row r="1101" spans="2:51" x14ac:dyDescent="0.2">
      <c r="B1101" s="226"/>
      <c r="C1101" s="146"/>
      <c r="D1101" s="146"/>
      <c r="J1101" s="15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row>
    <row r="1102" spans="2:51" x14ac:dyDescent="0.2">
      <c r="B1102" s="226"/>
      <c r="C1102" s="146"/>
      <c r="D1102" s="146"/>
      <c r="J1102" s="15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row>
    <row r="1103" spans="2:51" x14ac:dyDescent="0.2">
      <c r="C1103" s="146"/>
      <c r="D1103" s="146"/>
      <c r="J1103" s="15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6"/>
    </row>
    <row r="1104" spans="2:51" x14ac:dyDescent="0.2">
      <c r="C1104" s="146"/>
      <c r="D1104" s="146"/>
      <c r="J1104" s="15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6"/>
    </row>
    <row r="1105" spans="1:51" x14ac:dyDescent="0.2">
      <c r="B1105" s="226"/>
      <c r="C1105" s="146"/>
      <c r="D1105" s="146"/>
      <c r="J1105" s="15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6"/>
    </row>
    <row r="1106" spans="1:51" x14ac:dyDescent="0.2">
      <c r="C1106" s="146"/>
      <c r="D1106" s="146"/>
      <c r="J1106" s="15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6"/>
    </row>
    <row r="1107" spans="1:51" x14ac:dyDescent="0.2">
      <c r="B1107" s="226"/>
      <c r="C1107" s="146"/>
      <c r="D1107" s="146"/>
      <c r="J1107" s="15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6"/>
    </row>
    <row r="1108" spans="1:51" x14ac:dyDescent="0.2">
      <c r="B1108" s="226"/>
      <c r="C1108" s="146"/>
      <c r="D1108" s="146"/>
      <c r="J1108" s="15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row>
    <row r="1109" spans="1:51" x14ac:dyDescent="0.2">
      <c r="J1109" s="15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6"/>
    </row>
    <row r="1110" spans="1:51" x14ac:dyDescent="0.2">
      <c r="J1110" s="15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row>
    <row r="1111" spans="1:51" x14ac:dyDescent="0.2">
      <c r="J1111" s="15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6"/>
    </row>
    <row r="1112" spans="1:51" ht="33.75" customHeight="1" x14ac:dyDescent="0.2">
      <c r="A1112" s="6"/>
      <c r="B1112" s="282" t="s">
        <v>201</v>
      </c>
      <c r="C1112" s="283"/>
      <c r="D1112" s="283"/>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6"/>
    </row>
    <row r="1113" spans="1:51" x14ac:dyDescent="0.2">
      <c r="J1113" s="15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row>
    <row r="1114" spans="1:51" x14ac:dyDescent="0.2">
      <c r="B1114" s="226"/>
      <c r="C1114" s="146"/>
      <c r="D1114" s="14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6"/>
    </row>
    <row r="1115" spans="1:51" x14ac:dyDescent="0.2">
      <c r="B1115" s="141" t="s">
        <v>345</v>
      </c>
      <c r="C1115" s="287" t="s">
        <v>202</v>
      </c>
      <c r="D1115" s="142" t="s">
        <v>202</v>
      </c>
      <c r="E1115" s="226"/>
      <c r="F1115" s="226"/>
      <c r="G1115" s="226"/>
      <c r="H1115" s="226"/>
      <c r="J1115" s="226"/>
      <c r="K1115" s="226"/>
      <c r="L1115" s="226"/>
      <c r="M1115" s="226"/>
      <c r="N1115" s="226"/>
      <c r="O1115" s="226"/>
      <c r="S1115" s="294"/>
      <c r="T1115" s="294"/>
      <c r="U1115" s="6"/>
      <c r="V1115" s="294"/>
      <c r="W1115" s="294"/>
      <c r="X1115" s="294"/>
      <c r="Y1115" s="294"/>
      <c r="Z1115" s="294"/>
      <c r="AA1115" s="294"/>
      <c r="AB1115" s="294"/>
      <c r="AC1115" s="294"/>
      <c r="AD1115" s="294"/>
      <c r="AE1115" s="294"/>
      <c r="AF1115" s="294"/>
      <c r="AG1115" s="294"/>
      <c r="AH1115" s="6"/>
      <c r="AI1115" s="6"/>
      <c r="AJ1115" s="6"/>
      <c r="AK1115" s="6"/>
      <c r="AL1115" s="6"/>
      <c r="AM1115" s="6"/>
      <c r="AN1115" s="6"/>
      <c r="AO1115" s="6"/>
      <c r="AP1115" s="6"/>
      <c r="AQ1115" s="6"/>
      <c r="AR1115" s="6"/>
      <c r="AS1115" s="6"/>
      <c r="AT1115" s="6"/>
      <c r="AU1115" s="6"/>
      <c r="AV1115" s="6"/>
      <c r="AW1115" s="6"/>
      <c r="AX1115" s="6"/>
      <c r="AY1115" s="6"/>
    </row>
    <row r="1116" spans="1:51" x14ac:dyDescent="0.2">
      <c r="B1116" s="143"/>
      <c r="C1116" s="287" t="s">
        <v>191</v>
      </c>
      <c r="D1116" s="142" t="s">
        <v>192</v>
      </c>
      <c r="E1116" s="226"/>
      <c r="F1116" s="226"/>
      <c r="G1116" s="226"/>
      <c r="H1116" s="226"/>
      <c r="J1116" s="226"/>
      <c r="K1116" s="226"/>
      <c r="L1116" s="226"/>
      <c r="M1116" s="226"/>
      <c r="N1116" s="226"/>
      <c r="O1116" s="226"/>
      <c r="S1116" s="294"/>
      <c r="T1116" s="294"/>
      <c r="U1116" s="6"/>
      <c r="V1116" s="294"/>
      <c r="W1116" s="294"/>
      <c r="X1116" s="294"/>
      <c r="Y1116" s="294"/>
      <c r="Z1116" s="294"/>
      <c r="AA1116" s="294"/>
      <c r="AB1116" s="294"/>
      <c r="AC1116" s="294"/>
      <c r="AD1116" s="294"/>
      <c r="AE1116" s="294"/>
      <c r="AF1116" s="294"/>
      <c r="AG1116" s="294"/>
      <c r="AH1116" s="6"/>
      <c r="AI1116" s="6"/>
      <c r="AJ1116" s="6"/>
      <c r="AK1116" s="6"/>
      <c r="AL1116" s="6"/>
      <c r="AM1116" s="6"/>
      <c r="AN1116" s="6"/>
      <c r="AO1116" s="6"/>
      <c r="AP1116" s="6"/>
      <c r="AQ1116" s="6"/>
      <c r="AR1116" s="6"/>
      <c r="AS1116" s="6"/>
      <c r="AT1116" s="6"/>
      <c r="AU1116" s="6"/>
      <c r="AV1116" s="6"/>
      <c r="AW1116" s="6"/>
      <c r="AX1116" s="6"/>
      <c r="AY1116" s="6"/>
    </row>
    <row r="1117" spans="1:51" x14ac:dyDescent="0.2">
      <c r="B1117" s="143" t="s">
        <v>192</v>
      </c>
      <c r="C1117" s="288"/>
      <c r="D1117" s="38">
        <f>SUM('BAU2030'!$AG$39:$AG$71)</f>
        <v>15.636959999999998</v>
      </c>
      <c r="E1117" s="156"/>
      <c r="F1117" s="156"/>
      <c r="G1117" s="156"/>
      <c r="H1117" s="156"/>
      <c r="J1117" s="156"/>
      <c r="K1117" s="156"/>
      <c r="L1117" s="156"/>
      <c r="M1117" s="156"/>
      <c r="N1117" s="156"/>
      <c r="O1117" s="156"/>
      <c r="S1117" s="7"/>
      <c r="T1117" s="7"/>
      <c r="U1117" s="6"/>
      <c r="V1117" s="23"/>
      <c r="W1117" s="23"/>
      <c r="X1117" s="23"/>
      <c r="Y1117" s="23"/>
      <c r="Z1117" s="23"/>
      <c r="AA1117" s="23"/>
      <c r="AB1117" s="295"/>
      <c r="AC1117" s="295"/>
      <c r="AD1117" s="295"/>
      <c r="AE1117" s="295"/>
      <c r="AF1117" s="295"/>
      <c r="AG1117" s="295"/>
      <c r="AH1117" s="6"/>
      <c r="AI1117" s="6"/>
      <c r="AJ1117" s="6"/>
      <c r="AK1117" s="6"/>
      <c r="AL1117" s="6"/>
      <c r="AM1117" s="6"/>
      <c r="AN1117" s="6"/>
      <c r="AO1117" s="6"/>
      <c r="AP1117" s="6"/>
      <c r="AQ1117" s="6"/>
      <c r="AR1117" s="6"/>
      <c r="AS1117" s="6"/>
      <c r="AT1117" s="6"/>
      <c r="AU1117" s="6"/>
      <c r="AV1117" s="6"/>
      <c r="AW1117" s="6"/>
      <c r="AX1117" s="6"/>
      <c r="AY1117" s="6"/>
    </row>
    <row r="1118" spans="1:51" x14ac:dyDescent="0.2">
      <c r="B1118" s="143" t="s">
        <v>194</v>
      </c>
      <c r="C1118" s="288"/>
      <c r="D1118" s="38">
        <f>-('BAU2030'!$AF$39+'BAU2030'!$AG$39)-('BAU2030'!$AF$43+'BAU2030'!$AG$43)-('BAU2030'!$AF$52+'BAU2030'!$AG$52)-('BAU2030'!$AF$55+'BAU2030'!$AG$55)-('BAU2030'!$AF$62+'BAU2030'!$AG$62)-('BAU2030'!$AF$71+'BAU2030'!$AG$71)</f>
        <v>5.2123200000000018</v>
      </c>
      <c r="E1118" s="156"/>
      <c r="F1118" s="156"/>
      <c r="G1118" s="156"/>
      <c r="H1118" s="156"/>
      <c r="J1118" s="156"/>
      <c r="K1118" s="156"/>
      <c r="L1118" s="156"/>
      <c r="M1118" s="156"/>
      <c r="N1118" s="156"/>
      <c r="O1118" s="156"/>
      <c r="S1118" s="7"/>
      <c r="T1118" s="7"/>
      <c r="U1118" s="6"/>
      <c r="V1118" s="295"/>
      <c r="W1118" s="295"/>
      <c r="X1118" s="295"/>
      <c r="Y1118" s="295"/>
      <c r="Z1118" s="295"/>
      <c r="AA1118" s="295"/>
      <c r="AB1118" s="295"/>
      <c r="AC1118" s="295"/>
      <c r="AD1118" s="295"/>
      <c r="AE1118" s="295"/>
      <c r="AF1118" s="295"/>
      <c r="AG1118" s="295"/>
      <c r="AH1118" s="6"/>
      <c r="AI1118" s="6"/>
      <c r="AJ1118" s="6"/>
      <c r="AK1118" s="6"/>
      <c r="AL1118" s="6"/>
      <c r="AM1118" s="6"/>
      <c r="AN1118" s="6"/>
      <c r="AO1118" s="6"/>
      <c r="AP1118" s="6"/>
      <c r="AQ1118" s="6"/>
      <c r="AR1118" s="6"/>
      <c r="AS1118" s="6"/>
      <c r="AT1118" s="6"/>
      <c r="AU1118" s="6"/>
      <c r="AV1118" s="6"/>
      <c r="AW1118" s="6"/>
      <c r="AX1118" s="6"/>
      <c r="AY1118" s="6"/>
    </row>
    <row r="1119" spans="1:51" x14ac:dyDescent="0.2">
      <c r="B1119" s="298" t="s">
        <v>212</v>
      </c>
      <c r="C1119" s="288"/>
      <c r="D1119" s="38">
        <f>(-'BAU2030'!$AF$70)</f>
        <v>0</v>
      </c>
      <c r="E1119" s="156"/>
      <c r="F1119" s="156"/>
      <c r="G1119" s="156"/>
      <c r="H1119" s="156"/>
      <c r="J1119" s="156"/>
      <c r="K1119" s="156"/>
      <c r="L1119" s="156"/>
      <c r="M1119" s="156"/>
      <c r="N1119" s="156"/>
      <c r="O1119" s="156"/>
      <c r="S1119" s="7"/>
      <c r="T1119" s="7"/>
      <c r="U1119" s="6"/>
      <c r="V1119" s="295"/>
      <c r="W1119" s="295"/>
      <c r="X1119" s="295"/>
      <c r="Y1119" s="295"/>
      <c r="Z1119" s="295"/>
      <c r="AA1119" s="295"/>
      <c r="AB1119" s="295"/>
      <c r="AC1119" s="295"/>
      <c r="AD1119" s="295"/>
      <c r="AE1119" s="295"/>
      <c r="AF1119" s="295"/>
      <c r="AG1119" s="295"/>
      <c r="AH1119" s="6"/>
      <c r="AI1119" s="6"/>
      <c r="AJ1119" s="6"/>
      <c r="AK1119" s="6"/>
      <c r="AL1119" s="6"/>
      <c r="AM1119" s="6"/>
      <c r="AN1119" s="6"/>
      <c r="AO1119" s="6"/>
      <c r="AP1119" s="6"/>
      <c r="AQ1119" s="6"/>
      <c r="AR1119" s="6"/>
      <c r="AS1119" s="6"/>
      <c r="AT1119" s="6"/>
      <c r="AU1119" s="6"/>
      <c r="AV1119" s="6"/>
      <c r="AW1119" s="6"/>
      <c r="AX1119" s="6"/>
      <c r="AY1119" s="6"/>
    </row>
    <row r="1120" spans="1:51" x14ac:dyDescent="0.2">
      <c r="B1120" s="143"/>
      <c r="C1120" s="288"/>
      <c r="D1120" s="38"/>
      <c r="E1120" s="156"/>
      <c r="F1120" s="156"/>
      <c r="G1120" s="156"/>
      <c r="H1120" s="156"/>
      <c r="J1120" s="156"/>
      <c r="K1120" s="156"/>
      <c r="L1120" s="156"/>
      <c r="M1120" s="156"/>
      <c r="N1120" s="156"/>
      <c r="O1120" s="156"/>
      <c r="S1120" s="7"/>
      <c r="T1120" s="7"/>
      <c r="U1120" s="6"/>
      <c r="V1120" s="295"/>
      <c r="W1120" s="295"/>
      <c r="X1120" s="295"/>
      <c r="Y1120" s="295"/>
      <c r="Z1120" s="295"/>
      <c r="AA1120" s="295"/>
      <c r="AB1120" s="295"/>
      <c r="AC1120" s="295"/>
      <c r="AD1120" s="295"/>
      <c r="AE1120" s="295"/>
      <c r="AF1120" s="295"/>
      <c r="AG1120" s="295"/>
      <c r="AH1120" s="6"/>
      <c r="AI1120" s="6"/>
      <c r="AJ1120" s="6"/>
      <c r="AK1120" s="6"/>
      <c r="AL1120" s="6"/>
      <c r="AM1120" s="6"/>
      <c r="AN1120" s="6"/>
      <c r="AO1120" s="6"/>
      <c r="AP1120" s="6"/>
      <c r="AQ1120" s="6"/>
      <c r="AR1120" s="6"/>
      <c r="AS1120" s="6"/>
      <c r="AT1120" s="6"/>
      <c r="AU1120" s="6"/>
      <c r="AV1120" s="6"/>
      <c r="AW1120" s="6"/>
      <c r="AX1120" s="6"/>
      <c r="AY1120" s="6"/>
    </row>
    <row r="1121" spans="2:51" x14ac:dyDescent="0.2">
      <c r="B1121" s="143" t="s">
        <v>196</v>
      </c>
      <c r="C1121" s="288">
        <f>'BAU2030'!$AF$33+'BAU2030'!$AF$34+'BAU2030'!$AF$35+'BAU2030'!$AF$40+'BAU2030'!$AF$42+'BAU2030'!$AF$44+'BAU2030'!$AF$45+'BAU2030'!$AF$46+'BAU2030'!$AF$51+'BAU2030'!$AF$53+'BAU2030'!$AF$63+'BAU2030'!$AF$64+'BAU2030'!$AF$65+'BAU2030'!$AF$67</f>
        <v>0</v>
      </c>
      <c r="D1121" s="38"/>
      <c r="E1121" s="156"/>
      <c r="F1121" s="156"/>
      <c r="G1121" s="156"/>
      <c r="H1121" s="156"/>
      <c r="J1121" s="156"/>
      <c r="K1121" s="156"/>
      <c r="L1121" s="156"/>
      <c r="M1121" s="156"/>
      <c r="N1121" s="156"/>
      <c r="O1121" s="156"/>
      <c r="S1121" s="7"/>
      <c r="T1121" s="7"/>
      <c r="U1121" s="6"/>
      <c r="V1121" s="295"/>
      <c r="W1121" s="295"/>
      <c r="X1121" s="295"/>
      <c r="Y1121" s="295"/>
      <c r="Z1121" s="295"/>
      <c r="AA1121" s="295"/>
      <c r="AB1121" s="295"/>
      <c r="AC1121" s="295"/>
      <c r="AD1121" s="295"/>
      <c r="AE1121" s="295"/>
      <c r="AF1121" s="295"/>
      <c r="AG1121" s="295"/>
      <c r="AH1121" s="6"/>
      <c r="AI1121" s="6"/>
      <c r="AJ1121" s="6"/>
      <c r="AK1121" s="6"/>
      <c r="AL1121" s="6"/>
      <c r="AM1121" s="6"/>
      <c r="AN1121" s="6"/>
      <c r="AO1121" s="6"/>
      <c r="AP1121" s="6"/>
      <c r="AQ1121" s="6"/>
      <c r="AR1121" s="6"/>
      <c r="AS1121" s="6"/>
      <c r="AT1121" s="6"/>
      <c r="AU1121" s="6"/>
      <c r="AV1121" s="6"/>
      <c r="AW1121" s="6"/>
      <c r="AX1121" s="6"/>
      <c r="AY1121" s="6"/>
    </row>
    <row r="1122" spans="2:51" x14ac:dyDescent="0.2">
      <c r="B1122" s="143" t="s">
        <v>203</v>
      </c>
      <c r="C1122" s="288">
        <f>'BAU2030'!$AF$36+'BAU2030'!$AF$41+'BAU2030'!$AF$47+'BAU2030'!$AF$54+'BAU2030'!$AF$56+'BAU2030'!$AF$66</f>
        <v>20.84928</v>
      </c>
      <c r="D1122" s="38"/>
      <c r="E1122" s="156"/>
      <c r="F1122" s="156"/>
      <c r="G1122" s="156"/>
      <c r="H1122" s="156"/>
      <c r="J1122" s="156"/>
      <c r="K1122" s="156"/>
      <c r="L1122" s="156"/>
      <c r="M1122" s="156"/>
      <c r="N1122" s="156"/>
      <c r="O1122" s="156"/>
      <c r="S1122" s="7"/>
      <c r="T1122" s="7"/>
      <c r="U1122" s="6"/>
      <c r="V1122" s="6"/>
      <c r="W1122" s="6"/>
      <c r="X1122" s="6"/>
      <c r="Y1122" s="6"/>
      <c r="Z1122" s="6"/>
      <c r="AA1122" s="6"/>
      <c r="AB1122" s="295"/>
      <c r="AC1122" s="295"/>
      <c r="AD1122" s="295"/>
      <c r="AE1122" s="295"/>
      <c r="AF1122" s="295"/>
      <c r="AG1122" s="295"/>
      <c r="AH1122" s="6"/>
      <c r="AI1122" s="6"/>
      <c r="AJ1122" s="6"/>
      <c r="AK1122" s="6"/>
      <c r="AL1122" s="6"/>
      <c r="AM1122" s="6"/>
      <c r="AN1122" s="6"/>
      <c r="AO1122" s="6"/>
      <c r="AP1122" s="6"/>
      <c r="AQ1122" s="6"/>
      <c r="AR1122" s="6"/>
      <c r="AS1122" s="6"/>
      <c r="AT1122" s="6"/>
      <c r="AU1122" s="6"/>
      <c r="AV1122" s="6"/>
      <c r="AW1122" s="6"/>
      <c r="AX1122" s="6"/>
      <c r="AY1122" s="6"/>
    </row>
    <row r="1123" spans="2:51" x14ac:dyDescent="0.2">
      <c r="B1123" s="143" t="s">
        <v>204</v>
      </c>
      <c r="C1123" s="288">
        <f>'BAU2030'!$AF$37+'BAU2030'!$AF$38+'BAU2030'!$AF$48+'BAU2030'!$AF$49+'BAU2030'!$AF$57+'BAU2030'!$AF$58</f>
        <v>0</v>
      </c>
      <c r="D1123" s="38"/>
      <c r="E1123" s="156"/>
      <c r="F1123" s="156"/>
      <c r="G1123" s="156"/>
      <c r="H1123" s="156"/>
      <c r="J1123" s="156"/>
      <c r="K1123" s="156"/>
      <c r="L1123" s="156"/>
      <c r="M1123" s="156"/>
      <c r="N1123" s="156"/>
      <c r="O1123" s="156"/>
      <c r="S1123" s="7"/>
      <c r="T1123" s="7"/>
      <c r="U1123" s="6"/>
      <c r="V1123" s="6"/>
      <c r="W1123" s="6"/>
      <c r="X1123" s="6"/>
      <c r="Y1123" s="6"/>
      <c r="Z1123" s="6"/>
      <c r="AA1123" s="6"/>
      <c r="AB1123" s="295"/>
      <c r="AC1123" s="295"/>
      <c r="AD1123" s="295"/>
      <c r="AE1123" s="295"/>
      <c r="AF1123" s="295"/>
      <c r="AG1123" s="295"/>
      <c r="AH1123" s="6"/>
      <c r="AI1123" s="6"/>
      <c r="AJ1123" s="6"/>
      <c r="AK1123" s="6"/>
      <c r="AL1123" s="6"/>
      <c r="AM1123" s="6"/>
      <c r="AN1123" s="6"/>
      <c r="AO1123" s="6"/>
      <c r="AP1123" s="6"/>
      <c r="AQ1123" s="6"/>
      <c r="AR1123" s="6"/>
      <c r="AS1123" s="6"/>
      <c r="AT1123" s="6"/>
      <c r="AU1123" s="6"/>
      <c r="AV1123" s="6"/>
      <c r="AW1123" s="6"/>
      <c r="AX1123" s="6"/>
      <c r="AY1123" s="6"/>
    </row>
    <row r="1124" spans="2:51" x14ac:dyDescent="0.2">
      <c r="B1124" s="143" t="s">
        <v>205</v>
      </c>
      <c r="C1124" s="288">
        <f>'BAU2030'!$AF$50+'BAU2030'!$AF$60</f>
        <v>0</v>
      </c>
      <c r="D1124" s="38"/>
      <c r="E1124" s="156"/>
      <c r="F1124" s="156"/>
      <c r="G1124" s="156"/>
      <c r="H1124" s="156"/>
      <c r="J1124" s="156"/>
      <c r="K1124" s="156"/>
      <c r="L1124" s="156"/>
      <c r="M1124" s="156"/>
      <c r="N1124" s="156"/>
      <c r="O1124" s="156"/>
      <c r="S1124" s="7"/>
      <c r="T1124" s="7"/>
      <c r="U1124" s="6"/>
      <c r="V1124" s="295"/>
      <c r="W1124" s="295"/>
      <c r="X1124" s="295"/>
      <c r="Y1124" s="295"/>
      <c r="Z1124" s="295"/>
      <c r="AA1124" s="295"/>
      <c r="AB1124" s="295"/>
      <c r="AC1124" s="295"/>
      <c r="AD1124" s="295"/>
      <c r="AE1124" s="295"/>
      <c r="AF1124" s="295"/>
      <c r="AG1124" s="295"/>
      <c r="AH1124" s="6"/>
      <c r="AI1124" s="6"/>
      <c r="AJ1124" s="6"/>
      <c r="AK1124" s="6"/>
      <c r="AL1124" s="6"/>
      <c r="AM1124" s="6"/>
      <c r="AN1124" s="6"/>
      <c r="AO1124" s="6"/>
      <c r="AP1124" s="6"/>
      <c r="AQ1124" s="6"/>
      <c r="AR1124" s="6"/>
      <c r="AS1124" s="6"/>
      <c r="AT1124" s="6"/>
      <c r="AU1124" s="6"/>
      <c r="AV1124" s="6"/>
      <c r="AW1124" s="6"/>
      <c r="AX1124" s="6"/>
      <c r="AY1124" s="6"/>
    </row>
    <row r="1125" spans="2:51" x14ac:dyDescent="0.2">
      <c r="B1125" s="143" t="s">
        <v>218</v>
      </c>
      <c r="C1125" s="288">
        <f>'BAU2030'!$AF$59</f>
        <v>0</v>
      </c>
      <c r="D1125" s="38"/>
      <c r="E1125" s="156"/>
      <c r="F1125" s="156"/>
      <c r="G1125" s="156"/>
      <c r="H1125" s="156"/>
      <c r="J1125" s="156"/>
      <c r="K1125" s="156"/>
      <c r="L1125" s="156"/>
      <c r="M1125" s="156"/>
      <c r="N1125" s="156"/>
      <c r="O1125" s="156"/>
      <c r="S1125" s="7"/>
      <c r="T1125" s="7"/>
      <c r="U1125" s="6"/>
      <c r="V1125" s="295"/>
      <c r="W1125" s="295"/>
      <c r="X1125" s="295"/>
      <c r="Y1125" s="295"/>
      <c r="Z1125" s="295"/>
      <c r="AA1125" s="295"/>
      <c r="AB1125" s="295"/>
      <c r="AC1125" s="295"/>
      <c r="AD1125" s="295"/>
      <c r="AE1125" s="295"/>
      <c r="AF1125" s="295"/>
      <c r="AG1125" s="295"/>
      <c r="AH1125" s="6"/>
      <c r="AI1125" s="6"/>
      <c r="AJ1125" s="6"/>
      <c r="AK1125" s="6"/>
      <c r="AL1125" s="6"/>
      <c r="AM1125" s="6"/>
      <c r="AN1125" s="6"/>
      <c r="AO1125" s="6"/>
      <c r="AP1125" s="6"/>
      <c r="AQ1125" s="6"/>
      <c r="AR1125" s="6"/>
      <c r="AS1125" s="6"/>
      <c r="AT1125" s="6"/>
      <c r="AU1125" s="6"/>
      <c r="AV1125" s="6"/>
      <c r="AW1125" s="6"/>
      <c r="AX1125" s="6"/>
      <c r="AY1125" s="6"/>
    </row>
    <row r="1126" spans="2:51" x14ac:dyDescent="0.2">
      <c r="B1126" s="143" t="s">
        <v>217</v>
      </c>
      <c r="C1126" s="288">
        <f>'BAU2030'!$AF$68</f>
        <v>0</v>
      </c>
      <c r="D1126" s="38"/>
      <c r="E1126" s="156"/>
      <c r="F1126" s="156"/>
      <c r="G1126" s="156"/>
      <c r="H1126" s="15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row>
    <row r="1127" spans="2:51" x14ac:dyDescent="0.2">
      <c r="B1127" s="143" t="s">
        <v>37</v>
      </c>
      <c r="C1127" s="288">
        <f>'BAU2030'!$AF$61</f>
        <v>0</v>
      </c>
      <c r="D1127" s="38"/>
      <c r="E1127" s="156"/>
      <c r="F1127" s="156"/>
      <c r="G1127" s="156"/>
      <c r="I1127" s="297"/>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row>
    <row r="1128" spans="2:51" x14ac:dyDescent="0.2">
      <c r="B1128" s="15" t="s">
        <v>147</v>
      </c>
      <c r="C1128" s="16">
        <f>SUM(C1117:C1127)</f>
        <v>20.84928</v>
      </c>
      <c r="D1128" s="16">
        <f>SUM(D1117:D1127)</f>
        <v>20.84928</v>
      </c>
      <c r="E1128" s="146"/>
      <c r="F1128" s="24"/>
      <c r="G1128" s="156"/>
      <c r="I1128" s="297"/>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6"/>
    </row>
    <row r="1129" spans="2:51" x14ac:dyDescent="0.2">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6"/>
    </row>
    <row r="1130" spans="2:51" x14ac:dyDescent="0.2">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6"/>
    </row>
    <row r="1131" spans="2:51" x14ac:dyDescent="0.2">
      <c r="B1131" s="226" t="s">
        <v>223</v>
      </c>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row>
    <row r="1132" spans="2:51" x14ac:dyDescent="0.2">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6"/>
    </row>
    <row r="1133" spans="2:51" x14ac:dyDescent="0.2">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6"/>
    </row>
    <row r="1134" spans="2:51" x14ac:dyDescent="0.2">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row>
    <row r="1135" spans="2:51" x14ac:dyDescent="0.2">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row>
    <row r="1136" spans="2:51" x14ac:dyDescent="0.2">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6"/>
    </row>
    <row r="1137" spans="19:51" x14ac:dyDescent="0.2">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6"/>
    </row>
    <row r="1138" spans="19:51" x14ac:dyDescent="0.2">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row>
    <row r="1139" spans="19:51" x14ac:dyDescent="0.2">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6"/>
    </row>
    <row r="1140" spans="19:51" x14ac:dyDescent="0.2">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6"/>
    </row>
    <row r="1141" spans="19:51" x14ac:dyDescent="0.2">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row>
    <row r="1142" spans="19:51" x14ac:dyDescent="0.2">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row>
    <row r="1143" spans="19:51" x14ac:dyDescent="0.2">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row>
    <row r="1144" spans="19:51" x14ac:dyDescent="0.2">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row>
    <row r="1145" spans="19:51" x14ac:dyDescent="0.2">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6"/>
    </row>
    <row r="1146" spans="19:51" x14ac:dyDescent="0.2">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6"/>
    </row>
    <row r="1147" spans="19:51" x14ac:dyDescent="0.2">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6"/>
    </row>
    <row r="1148" spans="19:51" x14ac:dyDescent="0.2">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6"/>
    </row>
    <row r="1149" spans="19:51" x14ac:dyDescent="0.2">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6"/>
    </row>
    <row r="1150" spans="19:51" x14ac:dyDescent="0.2">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row>
    <row r="1151" spans="19:51" x14ac:dyDescent="0.2">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6"/>
    </row>
    <row r="1152" spans="19:51" x14ac:dyDescent="0.2">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row>
    <row r="1153" spans="2:51" x14ac:dyDescent="0.2">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6"/>
    </row>
    <row r="1154" spans="2:51" x14ac:dyDescent="0.2">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row>
    <row r="1155" spans="2:51" x14ac:dyDescent="0.2">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row>
    <row r="1156" spans="2:51" x14ac:dyDescent="0.2">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6"/>
    </row>
    <row r="1157" spans="2:51" x14ac:dyDescent="0.2">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6"/>
    </row>
    <row r="1158" spans="2:51" x14ac:dyDescent="0.2">
      <c r="C1158" s="216"/>
      <c r="D1158" s="216"/>
      <c r="H1158" s="156"/>
      <c r="I1158" s="156"/>
      <c r="J1158" s="156"/>
      <c r="K1158" s="156"/>
      <c r="L1158" s="156"/>
      <c r="M1158" s="156"/>
      <c r="N1158" s="156"/>
      <c r="O1158" s="156"/>
      <c r="S1158" s="6"/>
      <c r="T1158" s="7"/>
      <c r="U1158" s="7"/>
      <c r="V1158" s="7"/>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row>
    <row r="1159" spans="2:51" x14ac:dyDescent="0.2">
      <c r="C1159" s="216"/>
      <c r="D1159" s="21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row>
    <row r="1160" spans="2:51" x14ac:dyDescent="0.2">
      <c r="E1160" s="156"/>
      <c r="F1160" s="156"/>
      <c r="G1160" s="15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6"/>
    </row>
    <row r="1161" spans="2:51" x14ac:dyDescent="0.2">
      <c r="B1161" s="141" t="s">
        <v>346</v>
      </c>
      <c r="C1161" s="142" t="s">
        <v>129</v>
      </c>
      <c r="D1161" s="142" t="s">
        <v>129</v>
      </c>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row>
    <row r="1162" spans="2:51" x14ac:dyDescent="0.2">
      <c r="B1162" s="145"/>
      <c r="C1162" s="141" t="s">
        <v>191</v>
      </c>
      <c r="D1162" s="141" t="s">
        <v>192</v>
      </c>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row>
    <row r="1163" spans="2:51" x14ac:dyDescent="0.2">
      <c r="B1163" s="145" t="s">
        <v>192</v>
      </c>
      <c r="C1163" s="38"/>
      <c r="D1163" s="38">
        <f>SUM('BAU2030'!$AG$39:$AG$71)</f>
        <v>15.636959999999998</v>
      </c>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6"/>
    </row>
    <row r="1164" spans="2:51" x14ac:dyDescent="0.2">
      <c r="B1164" s="145" t="s">
        <v>194</v>
      </c>
      <c r="C1164" s="38"/>
      <c r="D1164" s="38">
        <f>-('BAU2030'!$AF$39+'BAU2030'!$AG$39)-('BAU2030'!$AF$43+'BAU2030'!$AG$43)-('BAU2030'!$AF$52+'BAU2030'!$AG$52)-('BAU2030'!$AF$55+'BAU2030'!$AG$55)-('BAU2030'!$AF$62+'BAU2030'!$AG$62)-('BAU2030'!$AF$71+'BAU2030'!$AG$71)</f>
        <v>5.2123200000000018</v>
      </c>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row>
    <row r="1165" spans="2:51" x14ac:dyDescent="0.2">
      <c r="B1165" s="298" t="s">
        <v>212</v>
      </c>
      <c r="C1165" s="298"/>
      <c r="D1165" s="138">
        <f>(-'BAU2030'!$AF$70)</f>
        <v>0</v>
      </c>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row>
    <row r="1166" spans="2:51" x14ac:dyDescent="0.2">
      <c r="B1166" s="145"/>
      <c r="C1166" s="38"/>
      <c r="D1166" s="38"/>
      <c r="J1166" s="15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row>
    <row r="1167" spans="2:51" x14ac:dyDescent="0.2">
      <c r="B1167" s="145" t="s">
        <v>135</v>
      </c>
      <c r="C1167" s="38">
        <f>'BAU2030'!$E$33*'BAU2030'!$AB$33/100+'BAU2030'!$E$34*'BAU2030'!$AB$34/100+'BAU2030'!$E$35*'BAU2030'!$AB$35/100+'BAU2030'!$E$36*'BAU2030'!$AB$36/100+'BAU2030'!$E$39*'BAU2030'!$AB$39/100+'BAU2030'!$E$40*'BAU2030'!$AB$40/100+'BAU2030'!$E$41*'BAU2030'!$AB$41/100+'BAU2030'!$E$42*'BAU2030'!$AB$42/100+'BAU2030'!$E$43*'BAU2030'!$AB$43/100+'BAU2030'!$E$44*'BAU2030'!$AB$44/100+'BAU2030'!$E$45*'BAU2030'!$AB$45/100+'BAU2030'!$E$46*'BAU2030'!$AB$46/100+'BAU2030'!$E$47*'BAU2030'!$AB$47/100+'BAU2030'!$E$48*'BAU2030'!$AB$48/100+'BAU2030'!$E$49*'BAU2030'!$AB$49/100+'BAU2030'!$E$50*'BAU2030'!$AB$50/100+'BAU2030'!$E$51*'BAU2030'!$AB$51/100+'BAU2030'!$E$52*'BAU2030'!$AB$52/100+'BAU2030'!$E$32*'BAU2030'!$AB$32/100+'BAU2030'!$E$53*'BAU2030'!$AB$53/100+'BAU2030'!$E$54*'BAU2030'!$AB$54/100+'BAU2030'!$E$55*'BAU2030'!$AB$55/100+'BAU2030'!$E$56*'BAU2030'!$AB$56/100+'BAU2030'!$E$57*'BAU2030'!$AB$57/100+'BAU2030'!$E$58*'BAU2030'!$AB$58/100+'BAU2030'!$E$59*'BAU2030'!$AB$59/100+'BAU2030'!$E$60*'BAU2030'!$AB$60/100+'BAU2030'!$E$61*'BAU2030'!$AB$61/100+'BAU2030'!$E$62*'BAU2030'!$AB$62/100+'BAU2030'!$E$63*'BAU2030'!$AB$63/100+'BAU2030'!$E$64*'BAU2030'!$AB$64/100+'BAU2030'!$E$65*'BAU2030'!$AB$65/100+'BAU2030'!$E$66*'BAU2030'!$AB$66/100+'BAU2030'!$E$67*'BAU2030'!$AB$67/100+'BAU2030'!$E$68*'BAU2030'!$AB$68/100</f>
        <v>0.47808</v>
      </c>
      <c r="D1167" s="38"/>
      <c r="J1167" s="15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6"/>
    </row>
    <row r="1168" spans="2:51" x14ac:dyDescent="0.2">
      <c r="B1168" s="145" t="s">
        <v>132</v>
      </c>
      <c r="C1168" s="38">
        <f>'BAU2030'!$C$33*'BAU2030'!$AB$33/100+'BAU2030'!$C$34*'BAU2030'!$AB$34/100+'BAU2030'!$C$35*'BAU2030'!$AB$35/100+'BAU2030'!$C$36*'BAU2030'!$AB$36/100+'BAU2030'!$C$39*'BAU2030'!$AB$39/100+'BAU2030'!$C$40*'BAU2030'!$AB$40/100+'BAU2030'!$C$41*'BAU2030'!$AB$41/100+'BAU2030'!$C$42*'BAU2030'!$AB$42/100+'BAU2030'!$C$43*'BAU2030'!$AB$43/100+'BAU2030'!$C$44*'BAU2030'!$AB$44/100+'BAU2030'!$C$45*'BAU2030'!$AB$45/100+'BAU2030'!$C$46*'BAU2030'!$AB$46/100+'BAU2030'!$C$47*'BAU2030'!$AB$47/100+'BAU2030'!$C$48*'BAU2030'!$AB$48/100+'BAU2030'!$C$49*'BAU2030'!$AB$49/100+'BAU2030'!$C$50*'BAU2030'!$AB$50/100+'BAU2030'!$C$51*'BAU2030'!$AB$51/100+'BAU2030'!$C$52*'BAU2030'!$AB$52/100+'BAU2030'!$C$32*'BAU2030'!$AB$32/100+'BAU2030'!$C$53*'BAU2030'!$AB$53/100+'BAU2030'!$C$54*'BAU2030'!$AB$54/100+'BAU2030'!$C$55*'BAU2030'!$AB$55/100+'BAU2030'!$C$56*'BAU2030'!$AB$56/100+'BAU2030'!$C$57*'BAU2030'!$AB$57/100+'BAU2030'!$C$58*'BAU2030'!$AB$58/100+'BAU2030'!$C$59*'BAU2030'!$AB$59/100+'BAU2030'!$C$60*'BAU2030'!$AB$60/100+'BAU2030'!$C$61*'BAU2030'!$AB$61/100+'BAU2030'!$C$62*'BAU2030'!$AB$62/100+'BAU2030'!$C$63*'BAU2030'!$AB$63/100+'BAU2030'!$C$64*'BAU2030'!$AB$64/100+'BAU2030'!$C$65*'BAU2030'!$AB$65/100+'BAU2030'!$C$66*'BAU2030'!$AB$66/100+'BAU2030'!$C$67*'BAU2030'!$AB$67/100+'BAU2030'!$C$68*'BAU2030'!$AB$68/100</f>
        <v>0</v>
      </c>
      <c r="D1168" s="38"/>
      <c r="J1168" s="15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row>
    <row r="1169" spans="2:51" x14ac:dyDescent="0.2">
      <c r="B1169" s="145" t="s">
        <v>134</v>
      </c>
      <c r="C1169" s="38">
        <f>'BAU2030'!$D$33*'BAU2030'!$AB$33/100+'BAU2030'!$D$34*'BAU2030'!$AB$34/100+'BAU2030'!$D$35*'BAU2030'!$AB$35/100+'BAU2030'!$D$36*'BAU2030'!$AB$36/100+'BAU2030'!$D$39*'BAU2030'!$AB$39/100+'BAU2030'!$D$40*'BAU2030'!$AB$40/100+'BAU2030'!$D$41*'BAU2030'!$AB$41/100+'BAU2030'!$D$42*'BAU2030'!$AB$42/100+'BAU2030'!$D$43*'BAU2030'!$AB$43/100+'BAU2030'!$D$44*'BAU2030'!$AB$44/100+'BAU2030'!$D$45*'BAU2030'!$AB$45/100+'BAU2030'!$D$46*'BAU2030'!$AB$46/100+'BAU2030'!$D$47*'BAU2030'!$AB$47/100+'BAU2030'!$D$48*'BAU2030'!$AB$48/100+'BAU2030'!$D$49*'BAU2030'!$AB$49/100+'BAU2030'!$D$50*'BAU2030'!$AB$50/100+'BAU2030'!$D$51*'BAU2030'!$AB$51/100+'BAU2030'!$D$52*'BAU2030'!$AB$52/100+'BAU2030'!$D$32*'BAU2030'!$AB$32/100+'BAU2030'!$D$53*'BAU2030'!$AB$53/100+'BAU2030'!$D$54*'BAU2030'!$AB$54/100+'BAU2030'!$D$55*'BAU2030'!$AB$55/100+'BAU2030'!$D$56*'BAU2030'!$AB$56/100+'BAU2030'!$D$57*'BAU2030'!$AB$57/100+'BAU2030'!$D$58*'BAU2030'!$AB$58/100+'BAU2030'!$D$59*'BAU2030'!$AB$59/100+'BAU2030'!$D$60*'BAU2030'!$AB$60/100+'BAU2030'!$D$61*'BAU2030'!$AB$61/100+'BAU2030'!$D$62*'BAU2030'!$AB$62/100+'BAU2030'!$D$63*'BAU2030'!$AB$63/100+'BAU2030'!$D$64*'BAU2030'!$AB$64/100+'BAU2030'!$D$65*'BAU2030'!$AB$65/100+'BAU2030'!$D$66*'BAU2030'!$AB$66/100+'BAU2030'!$D$67*'BAU2030'!$AB$67/100+'BAU2030'!$D$68*'BAU2030'!$AB$68/100</f>
        <v>0</v>
      </c>
      <c r="D1169" s="38"/>
      <c r="J1169" s="15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6"/>
    </row>
    <row r="1170" spans="2:51" x14ac:dyDescent="0.2">
      <c r="B1170" s="145" t="s">
        <v>199</v>
      </c>
      <c r="C1170" s="38">
        <f>'BAU2030'!$I$33*'BAU2030'!$AB$33/100+'BAU2030'!$I$34*'BAU2030'!$AB$34/100+'BAU2030'!$I$35*'BAU2030'!$AB$35/100+'BAU2030'!$I$36*'BAU2030'!$AB$36/100+'BAU2030'!$I$39*'BAU2030'!$AB$39/100+'BAU2030'!$I$40*'BAU2030'!$AB$40/100+'BAU2030'!$I$41*'BAU2030'!$AB$41/100+'BAU2030'!$I$42*'BAU2030'!$AB$42/100+'BAU2030'!$I$43*'BAU2030'!$AB$43/100+'BAU2030'!$I$44*'BAU2030'!$AB$44/100+'BAU2030'!$I$45*'BAU2030'!$AB$45/100+'BAU2030'!$I$46*'BAU2030'!$AB$46/100+'BAU2030'!$I$47*'BAU2030'!$AB$47/100+'BAU2030'!$I$48*'BAU2030'!$AB$48/100+'BAU2030'!$I$49*'BAU2030'!$AB$49/100+'BAU2030'!$I$50*'BAU2030'!$AB$50/100+'BAU2030'!$I$51*'BAU2030'!$AB$51/100+'BAU2030'!$I$52*'BAU2030'!$AB$52/100+'BAU2030'!$I$32*'BAU2030'!$AB$32/100+'BAU2030'!$I$53*'BAU2030'!$AB$53/100+'BAU2030'!$I$54*'BAU2030'!$AB$54/100+'BAU2030'!$I$55*'BAU2030'!$AB$55/100+'BAU2030'!$I$56*'BAU2030'!$AB$56/100+'BAU2030'!$I$57*'BAU2030'!$AB$57/100+'BAU2030'!$I$58*'BAU2030'!$AB$58/100+'BAU2030'!$I$59*'BAU2030'!$AB$59/100+'BAU2030'!$I$60*'BAU2030'!$AB$60/100+'BAU2030'!$I$61*'BAU2030'!$AB$61/100+'BAU2030'!$I$62*'BAU2030'!$AB$62/100+'BAU2030'!$I$63*'BAU2030'!$AB$63/100+'BAU2030'!$I$64*'BAU2030'!$AB$64/100+'BAU2030'!$I$65*'BAU2030'!$AB$65/100+'BAU2030'!$I$66*'BAU2030'!$AB$66/100+'BAU2030'!$I$67*'BAU2030'!$AB$67/100+'BAU2030'!$I$68*'BAU2030'!$AB$68/100</f>
        <v>0</v>
      </c>
      <c r="D1170" s="38"/>
      <c r="J1170" s="15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6"/>
    </row>
    <row r="1171" spans="2:51" x14ac:dyDescent="0.2">
      <c r="B1171" s="145" t="s">
        <v>138</v>
      </c>
      <c r="C1171" s="38">
        <f>'BAU2030'!$W$33*'BAU2030'!$AB$33/100+'BAU2030'!$W$34*'BAU2030'!$AB$34/100+'BAU2030'!$W$35*'BAU2030'!$AB$35/100+'BAU2030'!$W$36*'BAU2030'!$AB$36/100+'BAU2030'!$W$39*'BAU2030'!$AB$39/100+'BAU2030'!$W$40*'BAU2030'!$AB$40/100+'BAU2030'!$W$41*'BAU2030'!$AB$41/100+'BAU2030'!$W$42*'BAU2030'!$AB$42/100+'BAU2030'!$W$43*'BAU2030'!$AB$43/100+'BAU2030'!$W$44*'BAU2030'!$AB$44/100+'BAU2030'!$W$45*'BAU2030'!$AB$45/100+'BAU2030'!$W$46*'BAU2030'!$AB$46/100+'BAU2030'!$W$47*'BAU2030'!$AB$47/100+'BAU2030'!$W$48*'BAU2030'!$AB$48/100+'BAU2030'!$W$49*'BAU2030'!$AB$49/100+'BAU2030'!$W$50*'BAU2030'!$AB$50/100+'BAU2030'!$W$51*'BAU2030'!$AB$51/100+'BAU2030'!$W$52*'BAU2030'!$AB$52/100+'BAU2030'!$W$32*'BAU2030'!$AB$32/100+'BAU2030'!$W$53*'BAU2030'!$AB$53/100+'BAU2030'!$W$54*'BAU2030'!$AB$54/100+'BAU2030'!$W$55*'BAU2030'!$AB$55/100+'BAU2030'!$W$56*'BAU2030'!$AB$56/100+'BAU2030'!$W$57*'BAU2030'!$AB$57/100+'BAU2030'!$W$58*'BAU2030'!$AB$58/100+'BAU2030'!$W$59*'BAU2030'!$AB$59/100+'BAU2030'!$W$60*'BAU2030'!$AB$60/100+'BAU2030'!$W$61*'BAU2030'!$AB$61/100+'BAU2030'!$W$62*'BAU2030'!$AB$62/100+'BAU2030'!$W$63*'BAU2030'!$AB$63/100+'BAU2030'!$W$64*'BAU2030'!$AB$64/100+'BAU2030'!$W$65*'BAU2030'!$AB$65/100+'BAU2030'!$W$66*'BAU2030'!$AB$66/100+'BAU2030'!$W$67*'BAU2030'!$AB$67/100+'BAU2030'!$W$68*'BAU2030'!$AB$68/100</f>
        <v>0</v>
      </c>
      <c r="D1171" s="38"/>
      <c r="J1171" s="15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row>
    <row r="1172" spans="2:51" x14ac:dyDescent="0.2">
      <c r="B1172" s="145" t="s">
        <v>140</v>
      </c>
      <c r="C1172" s="38">
        <f>'BAU2030'!$U$33*'BAU2030'!$AB$33/100+'BAU2030'!$U$34*'BAU2030'!$AB$34/100+'BAU2030'!$U$35*'BAU2030'!$AB$35/100+'BAU2030'!$U$36*'BAU2030'!$AB$36/100+'BAU2030'!$U$39*'BAU2030'!$AB$39/100+'BAU2030'!$U$40*'BAU2030'!$AB$40/100+'BAU2030'!$U$41*'BAU2030'!$AB$41/100+'BAU2030'!$U$42*'BAU2030'!$AB$42/100+'BAU2030'!$U$43*'BAU2030'!$AB$43/100+'BAU2030'!$U$44*'BAU2030'!$AB$44/100+'BAU2030'!$U$45*'BAU2030'!$AB$45/100+'BAU2030'!$U$46*'BAU2030'!$AB$46/100+'BAU2030'!$U$47*'BAU2030'!$AB$47/100+'BAU2030'!$U$48*'BAU2030'!$AB$48/100+'BAU2030'!$U$49*'BAU2030'!$AB$49/100+'BAU2030'!$U$50*'BAU2030'!$AB$50/100+'BAU2030'!$U$51*'BAU2030'!$AB$51/100+'BAU2030'!$U$52*'BAU2030'!$AB$52/100+'BAU2030'!$U$32*'BAU2030'!$AB$32/100+'BAU2030'!$U$53*'BAU2030'!$AB$53/100+'BAU2030'!$U$54*'BAU2030'!$AB$54/100+'BAU2030'!$U$55*'BAU2030'!$AB$55/100+'BAU2030'!$U$56*'BAU2030'!$AB$56/100+'BAU2030'!$U$57*'BAU2030'!$AB$57/100+'BAU2030'!$U$58*'BAU2030'!$AB$58/100+'BAU2030'!$U$59*'BAU2030'!$AB$59/100+'BAU2030'!$U$60*'BAU2030'!$AB$60/100+'BAU2030'!$U$61*'BAU2030'!$AB$61/100+'BAU2030'!$U$62*'BAU2030'!$AB$62/100+'BAU2030'!$U$63*'BAU2030'!$AB$63/100+'BAU2030'!$U$64*'BAU2030'!$AB$64/100+'BAU2030'!$U$65*'BAU2030'!$AB$65/100+'BAU2030'!$U$66*'BAU2030'!$AB$66/100+'BAU2030'!$U$67*'BAU2030'!$AB$67/100+'BAU2030'!$U$68*'BAU2030'!$AB$68/100</f>
        <v>0</v>
      </c>
      <c r="D1172" s="38"/>
      <c r="J1172" s="15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row>
    <row r="1173" spans="2:51" x14ac:dyDescent="0.2">
      <c r="B1173" s="145" t="s">
        <v>141</v>
      </c>
      <c r="C1173" s="38">
        <f>'BAU2030'!$O$33*'BAU2030'!$AB$33/100+'BAU2030'!$P$34*'BAU2030'!$AB$34/100+'BAU2030'!$P$35*'BAU2030'!$AB$35/100+'BAU2030'!$P$36*'BAU2030'!$AB$36/100+'BAU2030'!$P$39*'BAU2030'!$AB$39/100+'BAU2030'!$P$40*'BAU2030'!$AB$40/100+'BAU2030'!$P$41*'BAU2030'!$AB$41/100+'BAU2030'!$P$42*'BAU2030'!$AB$42/100+'BAU2030'!$P$43*'BAU2030'!$AB$43/100+'BAU2030'!$P$44*'BAU2030'!$AB$44/100+'BAU2030'!$P$45*'BAU2030'!$AB$45/100+'BAU2030'!$P$46*'BAU2030'!$AB$46/100+'BAU2030'!$P$47*'BAU2030'!$AB$47/100+'BAU2030'!$P$48*'BAU2030'!$AB$48/100+'BAU2030'!$P$49*'BAU2030'!$AB$49/100+'BAU2030'!$P$50*'BAU2030'!$AB$50/100+'BAU2030'!$P$51*'BAU2030'!$AB$51/100+'BAU2030'!$P$52*'BAU2030'!$AB$52/100+'BAU2030'!$P$32*'BAU2030'!$AB$32/100+'BAU2030'!$P$53*'BAU2030'!$AB$53/100+'BAU2030'!$P$54*'BAU2030'!$AB$54/100+'BAU2030'!$P$55*'BAU2030'!$AB$55/100+'BAU2030'!$P$56*'BAU2030'!$AB$56/100+'BAU2030'!$P$57*'BAU2030'!$AB$57/100+'BAU2030'!$P$58*'BAU2030'!$AB$58/100+'BAU2030'!$P$59*'BAU2030'!$AB$59/100+'BAU2030'!$P$60*'BAU2030'!$AB$60/100+'BAU2030'!$P$61*'BAU2030'!$AB$61/100+'BAU2030'!$P$62*'BAU2030'!$AB$62/100+'BAU2030'!$P$63*'BAU2030'!$AB$63/100+'BAU2030'!$P$64*'BAU2030'!$AB$64/100+'BAU2030'!$P$65*'BAU2030'!$AB$65/100+'BAU2030'!$P$66*'BAU2030'!$AB$66/100+'BAU2030'!$P$67*'BAU2030'!$AB$67/100+'BAU2030'!$P$68*'BAU2030'!$AB$68/100+'BAU2030'!$Q$33*'BAU2030'!$AB$33/100+'BAU2030'!$Q$34*'BAU2030'!$AB$34/100+'BAU2030'!$Q$35*'BAU2030'!$AB$35/100+'BAU2030'!$Q$36*'BAU2030'!$AB$36/100+'BAU2030'!$Q$39*'BAU2030'!$AB$39/100+'BAU2030'!$Q$40*'BAU2030'!$AB$40/100+'BAU2030'!$Q$41*'BAU2030'!$AB$41/100+'BAU2030'!$Q$42*'BAU2030'!$AB$42/100+'BAU2030'!$Q$43*'BAU2030'!$AB$43/100+'BAU2030'!$Q$44*'BAU2030'!$AB$44/100+'BAU2030'!$Q$45*'BAU2030'!$AB$45/100+'BAU2030'!$Q$46*'BAU2030'!$AB$46/100+'BAU2030'!$Q$47*'BAU2030'!$AB$47/100+'BAU2030'!$Q$48*'BAU2030'!$AB$48/100+'BAU2030'!$Q$49*'BAU2030'!$AB$49/100+'BAU2030'!$Q$50*'BAU2030'!$AB$50/100+'BAU2030'!$Q$51*'BAU2030'!$AB$51/100+'BAU2030'!$Q$52*'BAU2030'!$AB$52/100+'BAU2030'!$Q$32*'BAU2030'!$AB$32/100+'BAU2030'!$Q$53*'BAU2030'!$AB$53/100+'BAU2030'!$Q$54*'BAU2030'!$AB$54/100+'BAU2030'!$Q$55*'BAU2030'!$AB$55/100+'BAU2030'!$Q$56*'BAU2030'!$AB$56/100+'BAU2030'!$Q$57*'BAU2030'!$AB$57/100+'BAU2030'!$Q$58*'BAU2030'!$AB$58/100+'BAU2030'!$Q$59*'BAU2030'!$AB$59/100+'BAU2030'!$Q$60*'BAU2030'!$AB$60/100+'BAU2030'!$Q$61*'BAU2030'!$AB$61/100+'BAU2030'!$Q$62*'BAU2030'!$AB$62/100+'BAU2030'!$Q$63*'BAU2030'!$AB$63/100+'BAU2030'!$Q$64*'BAU2030'!$AB$64/100+'BAU2030'!$Q$65*'BAU2030'!$AB$65/100+'BAU2030'!$Q$66*'BAU2030'!$AB$66/100+'BAU2030'!$Q$67*'BAU2030'!$AB$67/100+'BAU2030'!$Q$68*'BAU2030'!$AB$68/100+'BAU2030'!$R$33*'BAU2030'!$AB$33/100+'BAU2030'!$R$34*'BAU2030'!$AB$34/100+'BAU2030'!$R$35*'BAU2030'!$AB$35/100+'BAU2030'!$R$36*'BAU2030'!$AB$36/100+'BAU2030'!$R$39*'BAU2030'!$AB$39/100+'BAU2030'!$R$40*'BAU2030'!$AB$40/100+'BAU2030'!$R$41*'BAU2030'!$AB$41/100+'BAU2030'!$R$42*'BAU2030'!$AB$42/100+'BAU2030'!$R$43*'BAU2030'!$AB$43/100+'BAU2030'!$R$44*'BAU2030'!$AB$44/100+'BAU2030'!$R$45*'BAU2030'!$AB$45/100+'BAU2030'!$R$46*'BAU2030'!$AB$46/100+'BAU2030'!$R$47*'BAU2030'!$AB$47/100+'BAU2030'!$R$48*'BAU2030'!$AB$48/100+'BAU2030'!$R$49*'BAU2030'!$AB$49/100+'BAU2030'!$R$50*'BAU2030'!$AB$50/100+'BAU2030'!$R$51*'BAU2030'!$AB$51/100+'BAU2030'!$R$52*'BAU2030'!$AB$52/100+'BAU2030'!$R$32*'BAU2030'!$AB$32/100+'BAU2030'!$R$53*'BAU2030'!$AB$53/100+'BAU2030'!$R$54*'BAU2030'!$AB$54/100+'BAU2030'!$R$55*'BAU2030'!$AB$55/100+'BAU2030'!$R$56*'BAU2030'!$AB$56/100+'BAU2030'!$R$57*'BAU2030'!$AB$57/100+'BAU2030'!$R$58*'BAU2030'!$AB$58/100+'BAU2030'!$R$59*'BAU2030'!$AB$59/100+'BAU2030'!$R$60*'BAU2030'!$AB$60/100+'BAU2030'!$R$61*'BAU2030'!$AB$61/100+'BAU2030'!$R$62*'BAU2030'!$AB$62/100+'BAU2030'!$R$63*'BAU2030'!$AB$63/100+'BAU2030'!$R$64*'BAU2030'!$AB$64/100+'BAU2030'!$R$65*'BAU2030'!$AB$65/100+'BAU2030'!$R$66*'BAU2030'!$AB$66/100+'BAU2030'!$R$67*'BAU2030'!$AB$67/100+'BAU2030'!$R$68*'BAU2030'!$AB$68/100+'BAU2030'!$S$33*'BAU2030'!$AB$33/100+'BAU2030'!$S$34*'BAU2030'!$AB$34/100+'BAU2030'!$S$35*'BAU2030'!$AB$35/100+'BAU2030'!$S$36*'BAU2030'!$AB$36/100+'BAU2030'!$S$39*'BAU2030'!$AB$39/100+'BAU2030'!$S$40*'BAU2030'!$AB$40/100+'BAU2030'!$S$41*'BAU2030'!$AB$41/100+'BAU2030'!$S$42*'BAU2030'!$AB$42/100+'BAU2030'!$S$43*'BAU2030'!$AB$43/100+'BAU2030'!$S$44*'BAU2030'!$AB$44/100+'BAU2030'!$S$45*'BAU2030'!$AB$45/100+'BAU2030'!$S$46*'BAU2030'!$AB$46/100+'BAU2030'!$S$47*'BAU2030'!$AB$47/100+'BAU2030'!$S$48*'BAU2030'!$AB$48/100+'BAU2030'!$S$49*'BAU2030'!$AB$49/100+'BAU2030'!$S$50*'BAU2030'!$AB$50/100+'BAU2030'!$S$51*'BAU2030'!$AB$51/100+'BAU2030'!$S$52*'BAU2030'!$AB$52/100+'BAU2030'!$S$32*'BAU2030'!$AB$32/100+'BAU2030'!$S$53*'BAU2030'!$AB$53/100+'BAU2030'!$S$54*'BAU2030'!$AB$54/100+'BAU2030'!$S$55*'BAU2030'!$AB$55/100+'BAU2030'!$S$56*'BAU2030'!$AB$56/100+'BAU2030'!$S$57*'BAU2030'!$AB$57/100+'BAU2030'!$S$58*'BAU2030'!$AB$58/100+'BAU2030'!$S$59*'BAU2030'!$AB$59/100+'BAU2030'!$S$60*'BAU2030'!$AB$60/100+'BAU2030'!$S$61*'BAU2030'!$AB$61/100+'BAU2030'!$S$62*'BAU2030'!$AB$62/100+'BAU2030'!$S$63*'BAU2030'!$AB$63/100+'BAU2030'!$S$64*'BAU2030'!$AB$64/100+'BAU2030'!$S$65*'BAU2030'!$AB$65/100+'BAU2030'!$S$66*'BAU2030'!$AB$66/100+'BAU2030'!$S$67*'BAU2030'!$AB$67/100+'BAU2030'!$S$68*'BAU2030'!$AB$68/100</f>
        <v>20.371199999999998</v>
      </c>
      <c r="D1173" s="38"/>
      <c r="J1173" s="15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row>
    <row r="1174" spans="2:51" x14ac:dyDescent="0.2">
      <c r="B1174" s="145" t="s">
        <v>206</v>
      </c>
      <c r="C1174" s="38">
        <f>'BAU2030'!$AF$37+'BAU2030'!$AF$38+'BAU2030'!$AF$49+'BAU2030'!$AF$58+'BAU2030'!$AF$48+'BAU2030'!$AF$57</f>
        <v>0</v>
      </c>
      <c r="D1174" s="38"/>
      <c r="J1174" s="15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row>
    <row r="1175" spans="2:51" x14ac:dyDescent="0.2">
      <c r="B1175" s="145" t="s">
        <v>143</v>
      </c>
      <c r="C1175" s="38">
        <f>'BAU2030'!$O$33*'BAU2030'!$AB$33/100+'BAU2030'!$O$34*'BAU2030'!$AB$34/100+'BAU2030'!$O$35*'BAU2030'!$AB$35/100+'BAU2030'!$O$36*'BAU2030'!$AB$36/100
+'BAU2030'!$O$39*'BAU2030'!$AB$39/100+'BAU2030'!$O$40*'BAU2030'!$AB$40/100+'BAU2030'!$O$41*'BAU2030'!$AB$41/100+'BAU2030'!$O$42*'BAU2030'!$AB$42/100+'BAU2030'!$O$43*'BAU2030'!$AB$43/100+'BAU2030'!$O$44*'BAU2030'!$AB$44/100+'BAU2030'!$O$45*'BAU2030'!$AB$45/100+'BAU2030'!$O$46*'BAU2030'!$AB$46/100+'BAU2030'!$O$47*'BAU2030'!$AB$47/100+'BAU2030'!$O$48*'BAU2030'!$AB$48/100+'BAU2030'!$O$49*'BAU2030'!$AB$49/100+'BAU2030'!$O$50*'BAU2030'!$AB$50/100+'BAU2030'!$O$51*'BAU2030'!$AB$51/100+'BAU2030'!$O$52*'BAU2030'!$AB$52/100
+'BAU2030'!$O$32*'BAU2030'!$AB$32/100
+'BAU2030'!$O$53*'BAU2030'!$AB$53/100+'BAU2030'!$O$54*'BAU2030'!$AB$54/100+'BAU2030'!$O$55*'BAU2030'!$AB$55/100+'BAU2030'!$O$56*'BAU2030'!$AB$56/100+'BAU2030'!$O$57*'BAU2030'!$AB$57/100+'BAU2030'!$O$58*'BAU2030'!$AB$58/100+'BAU2030'!$O$59*'BAU2030'!$AB$59/100+'BAU2030'!$O$60*'BAU2030'!$AB$60/100+'BAU2030'!$O$61*'BAU2030'!$AB$61/100+'BAU2030'!$O$62*'BAU2030'!$AB$62/100+'BAU2030'!$O$63*'BAU2030'!$AB$63/100+'BAU2030'!$O$64*'BAU2030'!$AB$64/100+'BAU2030'!$O$65*'BAU2030'!$AB$65/100+'BAU2030'!$O$66*'BAU2030'!$AB$66/100+'BAU2030'!$O$67*'BAU2030'!$AB$67/100+'BAU2030'!$O$68*'BAU2030'!$AB$68/100
+'BAU2030'!$T$33*'BAU2030'!$AB$33/100+'BAU2030'!$T$34*'BAU2030'!$AB$34/100+'BAU2030'!$T$35*'BAU2030'!$AB$35/100+'BAU2030'!$T$36*'BAU2030'!$AB$36/100
+'BAU2030'!$T$39*'BAU2030'!$AB$39/100+'BAU2030'!$T$40*'BAU2030'!$AB$40/100+'BAU2030'!$T$41*'BAU2030'!$AB$41/100+'BAU2030'!$T$42*'BAU2030'!$AB$42/100+'BAU2030'!$T$43*'BAU2030'!$AB$43/100+'BAU2030'!$T$44*'BAU2030'!$AB$44/100+'BAU2030'!$T$45*'BAU2030'!$AB$45/100+'BAU2030'!$T$46*'BAU2030'!$AB$46/100+'BAU2030'!$T$47*'BAU2030'!$AB$47/100+'BAU2030'!$T$48*'BAU2030'!$AB$48/100+'BAU2030'!$T$49*'BAU2030'!$AB$49/100+'BAU2030'!$T$50*'BAU2030'!$AB$50/100+'BAU2030'!$T$51*'BAU2030'!$AB$51/100+'BAU2030'!$T$52*'BAU2030'!$AB$52/100
+'BAU2030'!$T$32*'BAU2030'!$AB$32/100
+'BAU2030'!$T$53*'BAU2030'!$AB$53/100+'BAU2030'!$T$54*'BAU2030'!$AB$54/100+'BAU2030'!$T$55*'BAU2030'!$AB$55/100+'BAU2030'!$T$56*'BAU2030'!$AB$56/100+'BAU2030'!$T$57*'BAU2030'!$AB$57/100+'BAU2030'!$T$58*'BAU2030'!$AB$58/100+'BAU2030'!$T$59*'BAU2030'!$AB$59/100+'BAU2030'!$T$60*'BAU2030'!$AB$60/100+'BAU2030'!$T$61*'BAU2030'!$AB$61/100+'BAU2030'!$T$62*'BAU2030'!$AB$62/100+'BAU2030'!$T$63*'BAU2030'!$AB$63/100+'BAU2030'!$T$64*'BAU2030'!$AB$64/100+'BAU2030'!$T$65*'BAU2030'!$AB$65/100+'BAU2030'!$T$66*'BAU2030'!$AB$66/100+'BAU2030'!$T$67*'BAU2030'!$AB$67/100+'BAU2030'!$T$68*'BAU2030'!$AB$68/100+'BAU2030'!$V$33*'BAU2030'!$AB$33/100+'BAU2030'!$V$34*'BAU2030'!$AB$34/100+'BAU2030'!$V$35*'BAU2030'!$AB$35/100+'BAU2030'!$V$36*'BAU2030'!$AB$36/100+'BAU2030'!$V$39*'BAU2030'!$AB$39/100+'BAU2030'!$V$40*'BAU2030'!$AB$40/100+'BAU2030'!$V$41*'BAU2030'!$AB$41/100+'BAU2030'!$V$42*'BAU2030'!$AB$42/100+'BAU2030'!$V$43*'BAU2030'!$AB$43/100+'BAU2030'!$V$44*'BAU2030'!$AB$44/100+'BAU2030'!$V$45*'BAU2030'!$AB$45/100+'BAU2030'!$V$46*'BAU2030'!$AB$46/100+'BAU2030'!$V$47*'BAU2030'!$AB$47/100+'BAU2030'!$V$48*'BAU2030'!$AB$48/100+'BAU2030'!$V$49*'BAU2030'!$AB$49/100+'BAU2030'!$V$50*'BAU2030'!$AB$50/100+'BAU2030'!$V$51*'BAU2030'!$AB$51/100+'BAU2030'!$V$52*'BAU2030'!$AB$52/100+'BAU2030'!$V$32*'BAU2030'!$AB$32/100+'BAU2030'!$V$53*'BAU2030'!$AB$53/100+'BAU2030'!$V$54*'BAU2030'!$AB$54/100+'BAU2030'!$V$55*'BAU2030'!$AB$55/100+'BAU2030'!$V$56*'BAU2030'!$AB$56/100+'BAU2030'!$V$57*'BAU2030'!$AB$57/100+'BAU2030'!$V$58*'BAU2030'!$AB$58/100+'BAU2030'!$V$59*'BAU2030'!$AB$59/100+'BAU2030'!$V$60*'BAU2030'!$AB$60/100+'BAU2030'!$V$61*'BAU2030'!$AB$61/100+'BAU2030'!$V$62*'BAU2030'!$AB$62/100+'BAU2030'!$V$63*'BAU2030'!$AB$63/100+'BAU2030'!$V$64*'BAU2030'!$AB$64/100+'BAU2030'!$V$65*'BAU2030'!$AB$65/100+'BAU2030'!$V$66*'BAU2030'!$AB$66/100+'BAU2030'!$V$67*'BAU2030'!$AB$67/100+'BAU2030'!$V$68*'BAU2030'!$AB$68/100</f>
        <v>0</v>
      </c>
      <c r="D1175" s="38"/>
      <c r="J1175" s="15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6"/>
    </row>
    <row r="1176" spans="2:51" x14ac:dyDescent="0.2">
      <c r="B1176" s="145" t="s">
        <v>144</v>
      </c>
      <c r="C1176" s="38">
        <f>'BAU2030'!$L$50*'BAU2030'!$AB$50/100+'BAU2030'!$L$60*'BAU2030'!$AB$60/100</f>
        <v>0</v>
      </c>
      <c r="D1176" s="38"/>
      <c r="J1176" s="15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row>
    <row r="1177" spans="2:51" x14ac:dyDescent="0.2">
      <c r="B1177" s="145" t="s">
        <v>218</v>
      </c>
      <c r="C1177" s="299">
        <f>'BAU2030'!$M$59*'BAU2030'!$AB$59/100</f>
        <v>0</v>
      </c>
      <c r="D1177" s="38"/>
      <c r="J1177" s="15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row>
    <row r="1178" spans="2:51" x14ac:dyDescent="0.2">
      <c r="B1178" s="145" t="s">
        <v>217</v>
      </c>
      <c r="C1178" s="38">
        <f>'BAU2030'!$AF$68</f>
        <v>0</v>
      </c>
      <c r="D1178" s="38"/>
      <c r="J1178" s="15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6"/>
    </row>
    <row r="1179" spans="2:51" x14ac:dyDescent="0.2">
      <c r="B1179" s="15" t="s">
        <v>147</v>
      </c>
      <c r="C1179" s="16">
        <f>SUM(C1163:C1178)</f>
        <v>20.849279999999997</v>
      </c>
      <c r="D1179" s="16">
        <f>SUM(D1163:D1178)</f>
        <v>20.84928</v>
      </c>
      <c r="F1179" s="300"/>
      <c r="J1179" s="15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row>
    <row r="1180" spans="2:51" x14ac:dyDescent="0.2">
      <c r="B1180" s="226"/>
      <c r="F1180" s="139"/>
      <c r="J1180" s="15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6"/>
    </row>
    <row r="1181" spans="2:51" x14ac:dyDescent="0.2">
      <c r="B1181" s="226"/>
      <c r="C1181" s="146"/>
      <c r="D1181" s="146"/>
      <c r="J1181" s="15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6"/>
    </row>
    <row r="1182" spans="2:51" x14ac:dyDescent="0.2">
      <c r="B1182" s="226" t="s">
        <v>224</v>
      </c>
      <c r="C1182" s="146"/>
      <c r="D1182" s="146"/>
      <c r="J1182" s="15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row>
    <row r="1183" spans="2:51" x14ac:dyDescent="0.2">
      <c r="B1183" s="226"/>
      <c r="C1183" s="146"/>
      <c r="D1183" s="146"/>
      <c r="J1183" s="15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6"/>
    </row>
    <row r="1184" spans="2:51" x14ac:dyDescent="0.2">
      <c r="B1184" s="226"/>
      <c r="C1184" s="146"/>
      <c r="D1184" s="146"/>
      <c r="J1184" s="15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row>
    <row r="1185" spans="2:51" x14ac:dyDescent="0.2">
      <c r="B1185" s="226"/>
      <c r="C1185" s="146"/>
      <c r="D1185" s="146"/>
      <c r="J1185" s="15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6"/>
    </row>
    <row r="1186" spans="2:51" x14ac:dyDescent="0.2">
      <c r="B1186" s="226"/>
      <c r="C1186" s="146"/>
      <c r="D1186" s="146"/>
      <c r="J1186" s="15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row>
    <row r="1187" spans="2:51" x14ac:dyDescent="0.2">
      <c r="B1187" s="226"/>
      <c r="C1187" s="146"/>
      <c r="D1187" s="146"/>
      <c r="J1187" s="15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row>
    <row r="1188" spans="2:51" x14ac:dyDescent="0.2">
      <c r="B1188" s="226"/>
      <c r="C1188" s="146"/>
      <c r="D1188" s="146"/>
      <c r="J1188" s="15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6"/>
    </row>
    <row r="1189" spans="2:51" x14ac:dyDescent="0.2">
      <c r="B1189" s="226"/>
      <c r="C1189" s="146"/>
      <c r="D1189" s="146"/>
      <c r="J1189" s="15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row>
    <row r="1190" spans="2:51" x14ac:dyDescent="0.2">
      <c r="B1190" s="226"/>
      <c r="C1190" s="146"/>
      <c r="D1190" s="146"/>
      <c r="J1190" s="15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row>
    <row r="1191" spans="2:51" x14ac:dyDescent="0.2">
      <c r="B1191" s="226"/>
      <c r="C1191" s="146"/>
      <c r="D1191" s="146"/>
      <c r="J1191" s="15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6"/>
    </row>
    <row r="1192" spans="2:51" x14ac:dyDescent="0.2">
      <c r="B1192" s="226"/>
      <c r="C1192" s="146"/>
      <c r="D1192" s="146"/>
      <c r="J1192" s="15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6"/>
    </row>
    <row r="1193" spans="2:51" x14ac:dyDescent="0.2">
      <c r="B1193" s="226"/>
      <c r="C1193" s="146"/>
      <c r="D1193" s="146"/>
      <c r="J1193" s="15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row>
    <row r="1194" spans="2:51" x14ac:dyDescent="0.2">
      <c r="B1194" s="226"/>
      <c r="C1194" s="146"/>
      <c r="D1194" s="146"/>
      <c r="J1194" s="15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6"/>
    </row>
    <row r="1195" spans="2:51" x14ac:dyDescent="0.2">
      <c r="B1195" s="226"/>
      <c r="C1195" s="146"/>
      <c r="D1195" s="146"/>
      <c r="J1195" s="15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6"/>
    </row>
    <row r="1196" spans="2:51" x14ac:dyDescent="0.2">
      <c r="B1196" s="226"/>
      <c r="C1196" s="146"/>
      <c r="D1196" s="146"/>
      <c r="J1196" s="15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row>
    <row r="1197" spans="2:51" x14ac:dyDescent="0.2">
      <c r="B1197" s="226"/>
      <c r="C1197" s="146"/>
      <c r="D1197" s="146"/>
      <c r="J1197" s="15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6"/>
    </row>
    <row r="1198" spans="2:51" x14ac:dyDescent="0.2">
      <c r="B1198" s="226"/>
      <c r="C1198" s="146"/>
      <c r="D1198" s="146"/>
      <c r="J1198" s="15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row>
    <row r="1199" spans="2:51" x14ac:dyDescent="0.2">
      <c r="B1199" s="226"/>
      <c r="C1199" s="146"/>
      <c r="D1199" s="146"/>
      <c r="J1199" s="15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6"/>
    </row>
    <row r="1200" spans="2:51" x14ac:dyDescent="0.2">
      <c r="B1200" s="226"/>
      <c r="C1200" s="146"/>
      <c r="D1200" s="146"/>
      <c r="J1200" s="15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row>
    <row r="1201" spans="1:51" x14ac:dyDescent="0.2">
      <c r="B1201" s="226"/>
      <c r="C1201" s="146"/>
      <c r="D1201" s="146"/>
      <c r="J1201" s="15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row>
    <row r="1202" spans="1:51" x14ac:dyDescent="0.2">
      <c r="B1202" s="226"/>
      <c r="C1202" s="146"/>
      <c r="D1202" s="146"/>
      <c r="J1202" s="15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6"/>
    </row>
    <row r="1203" spans="1:51" x14ac:dyDescent="0.2">
      <c r="C1203" s="146"/>
      <c r="D1203" s="146"/>
      <c r="J1203" s="15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6"/>
    </row>
    <row r="1204" spans="1:51" x14ac:dyDescent="0.2">
      <c r="C1204" s="146"/>
      <c r="D1204" s="146"/>
      <c r="J1204" s="15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6"/>
    </row>
    <row r="1205" spans="1:51" x14ac:dyDescent="0.2">
      <c r="B1205" s="226"/>
      <c r="C1205" s="146"/>
      <c r="D1205" s="146"/>
      <c r="J1205" s="15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row>
    <row r="1206" spans="1:51" x14ac:dyDescent="0.2">
      <c r="C1206" s="146"/>
      <c r="D1206" s="146"/>
      <c r="J1206" s="15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row>
    <row r="1207" spans="1:51" x14ac:dyDescent="0.2">
      <c r="B1207" s="226"/>
      <c r="C1207" s="146"/>
      <c r="D1207" s="146"/>
      <c r="J1207" s="15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6"/>
    </row>
    <row r="1208" spans="1:51" x14ac:dyDescent="0.2">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6"/>
    </row>
    <row r="1209" spans="1:51" x14ac:dyDescent="0.2">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6"/>
    </row>
    <row r="1210" spans="1:51" ht="12.75" customHeight="1" x14ac:dyDescent="0.2">
      <c r="A1210" s="6"/>
      <c r="B1210" s="282"/>
      <c r="C1210" s="283"/>
      <c r="D1210" s="283"/>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row>
    <row r="1211" spans="1:51" ht="12.75" customHeight="1" x14ac:dyDescent="0.2">
      <c r="A1211" s="6"/>
      <c r="B1211" s="282"/>
      <c r="C1211" s="283"/>
      <c r="D1211" s="283"/>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6"/>
    </row>
    <row r="1212" spans="1:51" ht="12.75" customHeight="1" x14ac:dyDescent="0.2">
      <c r="A1212" s="6"/>
      <c r="B1212" s="282"/>
      <c r="C1212" s="283"/>
      <c r="D1212" s="283"/>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6"/>
    </row>
    <row r="1213" spans="1:51" ht="12.75" customHeight="1" x14ac:dyDescent="0.2">
      <c r="A1213" s="6"/>
      <c r="B1213" s="282"/>
      <c r="C1213" s="283"/>
      <c r="D1213" s="283"/>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6"/>
    </row>
    <row r="1214" spans="1:51" ht="12.75" customHeight="1" x14ac:dyDescent="0.2">
      <c r="A1214" s="6"/>
      <c r="B1214" s="282"/>
      <c r="C1214" s="283"/>
      <c r="D1214" s="283"/>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row>
    <row r="1215" spans="1:51" ht="12.75" customHeight="1" x14ac:dyDescent="0.2">
      <c r="A1215" s="6"/>
      <c r="B1215" s="282"/>
      <c r="C1215" s="283"/>
      <c r="D1215" s="283"/>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row>
    <row r="1216" spans="1:51" ht="12.75" customHeight="1" x14ac:dyDescent="0.2">
      <c r="A1216" s="6"/>
      <c r="B1216" s="282"/>
      <c r="C1216" s="283"/>
      <c r="D1216" s="283"/>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row>
    <row r="1217" spans="1:51" ht="12.75" customHeight="1" x14ac:dyDescent="0.2">
      <c r="A1217" s="6"/>
      <c r="B1217" s="282"/>
      <c r="C1217" s="283"/>
      <c r="D1217" s="283"/>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6"/>
    </row>
    <row r="1218" spans="1:51" ht="12.75" customHeight="1" x14ac:dyDescent="0.2">
      <c r="A1218" s="6"/>
      <c r="B1218" s="282"/>
      <c r="C1218" s="283"/>
      <c r="D1218" s="283"/>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row>
    <row r="1219" spans="1:51" ht="12.75" customHeight="1" x14ac:dyDescent="0.2">
      <c r="A1219" s="6"/>
      <c r="B1219" s="282"/>
      <c r="C1219" s="283"/>
      <c r="D1219" s="283"/>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6"/>
    </row>
    <row r="1220" spans="1:51" ht="12.75" customHeight="1" x14ac:dyDescent="0.2">
      <c r="A1220" s="6"/>
      <c r="B1220" s="282"/>
      <c r="C1220" s="283"/>
      <c r="D1220" s="283"/>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row>
    <row r="1221" spans="1:51" ht="12.75" customHeight="1" x14ac:dyDescent="0.2">
      <c r="A1221" s="6"/>
      <c r="B1221" s="282"/>
      <c r="C1221" s="283"/>
      <c r="D1221" s="283"/>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6"/>
    </row>
    <row r="1222" spans="1:51" ht="12.75" customHeight="1" x14ac:dyDescent="0.2">
      <c r="A1222" s="6"/>
      <c r="B1222" s="282"/>
      <c r="C1222" s="283"/>
      <c r="D1222" s="283"/>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row>
    <row r="1223" spans="1:51" ht="12.75" customHeight="1" x14ac:dyDescent="0.2">
      <c r="A1223" s="6"/>
      <c r="B1223" s="282"/>
      <c r="C1223" s="283"/>
      <c r="D1223" s="283"/>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6"/>
    </row>
    <row r="1224" spans="1:51" ht="12.75" customHeight="1" x14ac:dyDescent="0.2">
      <c r="A1224" s="6"/>
      <c r="B1224" s="282"/>
      <c r="C1224" s="283"/>
      <c r="D1224" s="283"/>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6"/>
    </row>
    <row r="1225" spans="1:51" ht="12.75" customHeight="1" x14ac:dyDescent="0.2">
      <c r="A1225" s="6"/>
      <c r="B1225" s="282"/>
      <c r="C1225" s="283"/>
      <c r="D1225" s="283"/>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6"/>
    </row>
    <row r="1226" spans="1:51" ht="12.75" customHeight="1" x14ac:dyDescent="0.2">
      <c r="A1226" s="6"/>
      <c r="B1226" s="282"/>
      <c r="C1226" s="283"/>
      <c r="D1226" s="283"/>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6"/>
    </row>
    <row r="1227" spans="1:51" ht="12.75" customHeight="1" x14ac:dyDescent="0.2">
      <c r="A1227" s="6"/>
      <c r="B1227" s="282"/>
      <c r="C1227" s="283"/>
      <c r="D1227" s="283"/>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6"/>
    </row>
    <row r="1228" spans="1:51" ht="12.75" customHeight="1" x14ac:dyDescent="0.2">
      <c r="A1228" s="6"/>
      <c r="B1228" s="282"/>
      <c r="C1228" s="283"/>
      <c r="D1228" s="283"/>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6"/>
    </row>
    <row r="1229" spans="1:51" ht="12.75" customHeight="1" x14ac:dyDescent="0.2">
      <c r="A1229" s="6"/>
      <c r="B1229" s="282"/>
      <c r="C1229" s="283"/>
      <c r="D1229" s="283"/>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6"/>
    </row>
    <row r="1230" spans="1:51" ht="12.75" customHeight="1" x14ac:dyDescent="0.2">
      <c r="A1230" s="6"/>
      <c r="B1230" s="282"/>
      <c r="C1230" s="283"/>
      <c r="D1230" s="283"/>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row>
    <row r="1231" spans="1:51" ht="12.75" customHeight="1" x14ac:dyDescent="0.2">
      <c r="A1231" s="6"/>
      <c r="B1231" s="282"/>
      <c r="C1231" s="283"/>
      <c r="D1231" s="283"/>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6"/>
    </row>
    <row r="1232" spans="1:51" ht="12.75" customHeight="1" x14ac:dyDescent="0.2">
      <c r="A1232" s="6"/>
      <c r="B1232" s="282"/>
      <c r="C1232" s="283"/>
      <c r="D1232" s="283"/>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6"/>
    </row>
    <row r="1233" spans="1:51" ht="12.75" customHeight="1" x14ac:dyDescent="0.2">
      <c r="A1233" s="6"/>
      <c r="B1233" s="282"/>
      <c r="C1233" s="283"/>
      <c r="D1233" s="283"/>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6"/>
    </row>
    <row r="1234" spans="1:51" ht="12.75" customHeight="1" x14ac:dyDescent="0.2">
      <c r="A1234" s="6"/>
      <c r="B1234" s="282"/>
      <c r="C1234" s="283"/>
      <c r="D1234" s="283"/>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6"/>
    </row>
    <row r="1235" spans="1:51" ht="12.75" customHeight="1" x14ac:dyDescent="0.2">
      <c r="A1235" s="6"/>
      <c r="B1235" s="282"/>
      <c r="C1235" s="283"/>
      <c r="D1235" s="283"/>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6"/>
    </row>
    <row r="1236" spans="1:51" ht="12.75" customHeight="1" x14ac:dyDescent="0.2">
      <c r="A1236" s="6"/>
      <c r="B1236" s="282"/>
      <c r="C1236" s="283"/>
      <c r="D1236" s="283"/>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6"/>
    </row>
    <row r="1237" spans="1:51" ht="12.75" customHeight="1" x14ac:dyDescent="0.2">
      <c r="A1237" s="6"/>
      <c r="B1237" s="282"/>
      <c r="C1237" s="283"/>
      <c r="D1237" s="283"/>
      <c r="E1237" s="6"/>
      <c r="F1237" s="6"/>
      <c r="G1237" s="6"/>
      <c r="H1237" s="6"/>
      <c r="I1237" s="6"/>
      <c r="J1237" s="6"/>
      <c r="K1237" s="6"/>
      <c r="L1237" s="6"/>
      <c r="M1237" s="6"/>
      <c r="N1237" s="6"/>
      <c r="O1237" s="6"/>
      <c r="P1237" s="6"/>
      <c r="Q1237" s="6"/>
      <c r="R1237" s="6"/>
      <c r="S1237" s="294"/>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row>
    <row r="1238" spans="1:51" ht="12.75" customHeight="1" x14ac:dyDescent="0.2">
      <c r="A1238" s="6"/>
      <c r="B1238" s="282"/>
      <c r="C1238" s="283"/>
      <c r="D1238" s="283"/>
      <c r="E1238" s="6"/>
      <c r="F1238" s="6"/>
      <c r="G1238" s="6"/>
      <c r="H1238" s="6"/>
      <c r="I1238" s="6"/>
      <c r="J1238" s="6"/>
      <c r="K1238" s="6"/>
      <c r="L1238" s="6"/>
      <c r="M1238" s="6"/>
      <c r="N1238" s="6"/>
      <c r="O1238" s="6"/>
      <c r="P1238" s="6"/>
      <c r="Q1238" s="6"/>
      <c r="R1238" s="6"/>
      <c r="S1238" s="294"/>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row>
    <row r="1239" spans="1:51" ht="12.75" customHeight="1" x14ac:dyDescent="0.2">
      <c r="A1239" s="6"/>
      <c r="B1239" s="282"/>
      <c r="C1239" s="283"/>
      <c r="D1239" s="283"/>
      <c r="E1239" s="6"/>
      <c r="F1239" s="6"/>
      <c r="G1239" s="6"/>
      <c r="H1239" s="6"/>
      <c r="I1239" s="6"/>
      <c r="J1239" s="6"/>
      <c r="K1239" s="6"/>
      <c r="L1239" s="6"/>
      <c r="M1239" s="6"/>
      <c r="N1239" s="6"/>
      <c r="O1239" s="6"/>
      <c r="P1239" s="6"/>
      <c r="Q1239" s="6"/>
      <c r="R1239" s="6"/>
      <c r="S1239" s="7"/>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6"/>
    </row>
    <row r="1240" spans="1:51" ht="12.75" customHeight="1" x14ac:dyDescent="0.2">
      <c r="A1240" s="6"/>
      <c r="B1240" s="282"/>
      <c r="C1240" s="283"/>
      <c r="D1240" s="283"/>
      <c r="E1240" s="6"/>
      <c r="F1240" s="6"/>
      <c r="G1240" s="6"/>
      <c r="H1240" s="6"/>
      <c r="I1240" s="6"/>
      <c r="J1240" s="6"/>
      <c r="K1240" s="6"/>
      <c r="L1240" s="6"/>
      <c r="M1240" s="6"/>
      <c r="N1240" s="6"/>
      <c r="O1240" s="6"/>
      <c r="P1240" s="6"/>
      <c r="Q1240" s="6"/>
      <c r="R1240" s="6"/>
      <c r="S1240" s="7"/>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6"/>
    </row>
    <row r="1241" spans="1:51" ht="12.75" customHeight="1" x14ac:dyDescent="0.2">
      <c r="A1241" s="6"/>
      <c r="B1241" s="282"/>
      <c r="C1241" s="283"/>
      <c r="D1241" s="283"/>
      <c r="E1241" s="6"/>
      <c r="F1241" s="6"/>
      <c r="G1241" s="6"/>
      <c r="H1241" s="6"/>
      <c r="I1241" s="6"/>
      <c r="J1241" s="6"/>
      <c r="K1241" s="6"/>
      <c r="L1241" s="6"/>
      <c r="M1241" s="6"/>
      <c r="N1241" s="6"/>
      <c r="O1241" s="6"/>
      <c r="P1241" s="6"/>
      <c r="Q1241" s="6"/>
      <c r="R1241" s="6"/>
      <c r="S1241" s="7"/>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6"/>
    </row>
    <row r="1242" spans="1:51" ht="12.75" customHeight="1" x14ac:dyDescent="0.2">
      <c r="A1242" s="6"/>
      <c r="B1242" s="282"/>
      <c r="C1242" s="283"/>
      <c r="D1242" s="283"/>
      <c r="E1242" s="6"/>
      <c r="F1242" s="6"/>
      <c r="G1242" s="6"/>
      <c r="H1242" s="6"/>
      <c r="I1242" s="6"/>
      <c r="J1242" s="6"/>
      <c r="K1242" s="6"/>
      <c r="L1242" s="6"/>
      <c r="M1242" s="6"/>
      <c r="N1242" s="6"/>
      <c r="O1242" s="6"/>
      <c r="P1242" s="6"/>
      <c r="Q1242" s="6"/>
      <c r="R1242" s="6"/>
      <c r="S1242" s="7"/>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row>
    <row r="1243" spans="1:51" ht="12.75" customHeight="1" x14ac:dyDescent="0.2">
      <c r="A1243" s="6"/>
      <c r="B1243" s="282"/>
      <c r="C1243" s="283"/>
      <c r="D1243" s="283"/>
      <c r="E1243" s="6"/>
      <c r="F1243" s="6"/>
      <c r="G1243" s="6"/>
      <c r="H1243" s="6"/>
      <c r="I1243" s="6"/>
      <c r="J1243" s="6"/>
      <c r="K1243" s="6"/>
      <c r="L1243" s="6"/>
      <c r="M1243" s="6"/>
      <c r="N1243" s="6"/>
      <c r="O1243" s="6"/>
      <c r="P1243" s="6"/>
      <c r="Q1243" s="6"/>
      <c r="R1243" s="6"/>
      <c r="S1243" s="7"/>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row>
    <row r="1244" spans="1:51" ht="12.75" customHeight="1" x14ac:dyDescent="0.2">
      <c r="A1244" s="6"/>
      <c r="B1244" s="282"/>
      <c r="C1244" s="283"/>
      <c r="D1244" s="283"/>
      <c r="E1244" s="6"/>
      <c r="F1244" s="6"/>
      <c r="G1244" s="6"/>
      <c r="H1244" s="6"/>
      <c r="I1244" s="6"/>
      <c r="J1244" s="6"/>
      <c r="K1244" s="6"/>
      <c r="L1244" s="6"/>
      <c r="M1244" s="6"/>
      <c r="N1244" s="6"/>
      <c r="O1244" s="6"/>
      <c r="P1244" s="6"/>
      <c r="Q1244" s="6"/>
      <c r="R1244" s="6"/>
      <c r="S1244" s="7"/>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row>
    <row r="1245" spans="1:51" ht="12.75" customHeight="1" x14ac:dyDescent="0.2">
      <c r="A1245" s="6"/>
      <c r="B1245" s="282"/>
      <c r="C1245" s="283"/>
      <c r="D1245" s="283"/>
      <c r="E1245" s="6"/>
      <c r="F1245" s="6"/>
      <c r="G1245" s="6"/>
      <c r="H1245" s="6"/>
      <c r="I1245" s="6"/>
      <c r="J1245" s="6"/>
      <c r="K1245" s="6"/>
      <c r="L1245" s="6"/>
      <c r="M1245" s="6"/>
      <c r="N1245" s="6"/>
      <c r="O1245" s="6"/>
      <c r="P1245" s="6"/>
      <c r="Q1245" s="6"/>
      <c r="R1245" s="6"/>
      <c r="S1245" s="7"/>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row>
    <row r="1246" spans="1:51" ht="12.75" customHeight="1" x14ac:dyDescent="0.2">
      <c r="A1246" s="6"/>
      <c r="B1246" s="282"/>
      <c r="C1246" s="283"/>
      <c r="D1246" s="283"/>
      <c r="E1246" s="6"/>
      <c r="F1246" s="6"/>
      <c r="G1246" s="6"/>
      <c r="H1246" s="6"/>
      <c r="I1246" s="6"/>
      <c r="J1246" s="6"/>
      <c r="K1246" s="6"/>
      <c r="L1246" s="6"/>
      <c r="M1246" s="6"/>
      <c r="N1246" s="6"/>
      <c r="O1246" s="6"/>
      <c r="P1246" s="6"/>
      <c r="Q1246" s="6"/>
      <c r="R1246" s="6"/>
      <c r="S1246" s="7"/>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row>
    <row r="1247" spans="1:51" ht="12.75" customHeight="1" x14ac:dyDescent="0.2">
      <c r="A1247" s="6"/>
      <c r="B1247" s="282"/>
      <c r="C1247" s="283"/>
      <c r="D1247" s="283"/>
      <c r="E1247" s="6"/>
      <c r="F1247" s="6"/>
      <c r="G1247" s="6"/>
      <c r="H1247" s="6"/>
      <c r="I1247" s="6"/>
      <c r="J1247" s="6"/>
      <c r="K1247" s="6"/>
      <c r="L1247" s="6"/>
      <c r="M1247" s="6"/>
      <c r="N1247" s="6"/>
      <c r="O1247" s="6"/>
      <c r="P1247" s="6"/>
      <c r="Q1247" s="6"/>
      <c r="R1247" s="6"/>
      <c r="S1247" s="283"/>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6"/>
    </row>
    <row r="1248" spans="1:51" ht="12.75" customHeight="1" x14ac:dyDescent="0.2">
      <c r="A1248" s="6"/>
      <c r="B1248" s="282"/>
      <c r="C1248" s="283"/>
      <c r="D1248" s="283"/>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row>
    <row r="1249" spans="1:51" ht="12.75" customHeight="1" x14ac:dyDescent="0.2">
      <c r="A1249" s="6"/>
      <c r="B1249" s="282"/>
      <c r="C1249" s="283"/>
      <c r="D1249" s="283"/>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row>
    <row r="1250" spans="1:51" ht="12.75" customHeight="1" x14ac:dyDescent="0.2">
      <c r="A1250" s="6"/>
      <c r="B1250" s="282"/>
      <c r="C1250" s="283"/>
      <c r="D1250" s="283"/>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row>
    <row r="1251" spans="1:51" ht="12.75" customHeight="1" x14ac:dyDescent="0.2">
      <c r="A1251" s="6"/>
      <c r="B1251" s="282"/>
      <c r="C1251" s="283"/>
      <c r="D1251" s="283"/>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row>
    <row r="1252" spans="1:51" ht="12.75" customHeight="1" x14ac:dyDescent="0.2">
      <c r="A1252" s="6"/>
      <c r="B1252" s="282"/>
      <c r="C1252" s="283"/>
      <c r="D1252" s="283"/>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row>
    <row r="1253" spans="1:51" ht="12.75" customHeight="1" x14ac:dyDescent="0.2">
      <c r="A1253" s="6"/>
      <c r="B1253" s="282"/>
      <c r="C1253" s="283"/>
      <c r="D1253" s="283"/>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6"/>
    </row>
    <row r="1254" spans="1:51" ht="12.75" customHeight="1" x14ac:dyDescent="0.2">
      <c r="A1254" s="6"/>
      <c r="B1254" s="282"/>
      <c r="C1254" s="283"/>
      <c r="D1254" s="283"/>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row>
    <row r="1255" spans="1:51" ht="12.75" customHeight="1" x14ac:dyDescent="0.2">
      <c r="A1255" s="6"/>
      <c r="B1255" s="282"/>
      <c r="C1255" s="283"/>
      <c r="D1255" s="283"/>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row>
    <row r="1256" spans="1:51" ht="12.75" customHeight="1" x14ac:dyDescent="0.2">
      <c r="A1256" s="6"/>
      <c r="B1256" s="282"/>
      <c r="C1256" s="283"/>
      <c r="D1256" s="283"/>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6"/>
    </row>
    <row r="1257" spans="1:51" ht="12.75" customHeight="1" x14ac:dyDescent="0.2">
      <c r="A1257" s="6"/>
      <c r="B1257" s="282"/>
      <c r="C1257" s="283"/>
      <c r="D1257" s="283"/>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6"/>
    </row>
    <row r="1258" spans="1:51" ht="12.75" customHeight="1" x14ac:dyDescent="0.2">
      <c r="A1258" s="6"/>
      <c r="B1258" s="282"/>
      <c r="C1258" s="283"/>
      <c r="D1258" s="283"/>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6"/>
    </row>
    <row r="1259" spans="1:51" ht="12.75" customHeight="1" x14ac:dyDescent="0.2">
      <c r="A1259" s="6"/>
      <c r="B1259" s="282"/>
      <c r="C1259" s="283"/>
      <c r="D1259" s="283"/>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6"/>
    </row>
    <row r="1260" spans="1:51" ht="12.75" customHeight="1" x14ac:dyDescent="0.2">
      <c r="A1260" s="6"/>
      <c r="B1260" s="282"/>
      <c r="C1260" s="283"/>
      <c r="D1260" s="283"/>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6"/>
    </row>
    <row r="1261" spans="1:51" ht="12.75" customHeight="1" x14ac:dyDescent="0.2">
      <c r="A1261" s="6"/>
      <c r="B1261" s="282"/>
      <c r="C1261" s="283"/>
      <c r="D1261" s="283"/>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row>
    <row r="1262" spans="1:51" ht="12.75" customHeight="1" x14ac:dyDescent="0.2">
      <c r="A1262" s="6"/>
      <c r="B1262" s="282"/>
      <c r="C1262" s="283"/>
      <c r="D1262" s="283"/>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row>
    <row r="1263" spans="1:51" ht="12.75" customHeight="1" x14ac:dyDescent="0.2">
      <c r="A1263" s="6"/>
      <c r="B1263" s="282"/>
      <c r="C1263" s="283"/>
      <c r="D1263" s="283"/>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c r="AX1263" s="6"/>
      <c r="AY1263" s="6"/>
    </row>
    <row r="1264" spans="1:51" ht="12.75" customHeight="1" x14ac:dyDescent="0.2">
      <c r="A1264" s="6"/>
      <c r="B1264" s="282"/>
      <c r="C1264" s="283"/>
      <c r="D1264" s="283"/>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6"/>
    </row>
    <row r="1265" spans="1:51" ht="12.75" customHeight="1" x14ac:dyDescent="0.2">
      <c r="A1265" s="6"/>
      <c r="B1265" s="282"/>
      <c r="C1265" s="283"/>
      <c r="D1265" s="283"/>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6"/>
    </row>
    <row r="1266" spans="1:51" ht="12.75" customHeight="1" x14ac:dyDescent="0.2">
      <c r="A1266" s="6"/>
      <c r="B1266" s="282"/>
      <c r="C1266" s="283"/>
      <c r="D1266" s="283"/>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row>
    <row r="1267" spans="1:51" ht="12.75" customHeight="1" x14ac:dyDescent="0.2">
      <c r="A1267" s="6"/>
      <c r="B1267" s="282"/>
      <c r="C1267" s="283"/>
      <c r="D1267" s="283"/>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6"/>
    </row>
    <row r="1268" spans="1:51" ht="12.75" customHeight="1" x14ac:dyDescent="0.2">
      <c r="A1268" s="6"/>
      <c r="B1268" s="282"/>
      <c r="C1268" s="283"/>
      <c r="D1268" s="283"/>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6"/>
    </row>
    <row r="1269" spans="1:51" ht="12.75" customHeight="1" x14ac:dyDescent="0.2">
      <c r="A1269" s="6"/>
      <c r="B1269" s="282"/>
      <c r="C1269" s="283"/>
      <c r="D1269" s="283"/>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6"/>
    </row>
    <row r="1270" spans="1:51" ht="12.75" customHeight="1" x14ac:dyDescent="0.2">
      <c r="A1270" s="6"/>
      <c r="B1270" s="282"/>
      <c r="C1270" s="283"/>
      <c r="D1270" s="283"/>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row>
    <row r="1271" spans="1:51" ht="12.75" customHeight="1" x14ac:dyDescent="0.2">
      <c r="A1271" s="6"/>
      <c r="B1271" s="282"/>
      <c r="C1271" s="283"/>
      <c r="D1271" s="283"/>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6"/>
    </row>
    <row r="1272" spans="1:51" ht="12.75" customHeight="1" x14ac:dyDescent="0.2">
      <c r="A1272" s="6"/>
      <c r="B1272" s="282"/>
      <c r="C1272" s="283"/>
      <c r="D1272" s="283"/>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6"/>
    </row>
    <row r="1273" spans="1:51" ht="12.75" customHeight="1" x14ac:dyDescent="0.2">
      <c r="A1273" s="6"/>
      <c r="B1273" s="282"/>
      <c r="C1273" s="283"/>
      <c r="D1273" s="283"/>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6"/>
    </row>
    <row r="1274" spans="1:51" ht="12.75" customHeight="1" x14ac:dyDescent="0.2">
      <c r="A1274" s="6"/>
      <c r="B1274" s="282"/>
      <c r="C1274" s="283"/>
      <c r="D1274" s="283"/>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row>
    <row r="1275" spans="1:51" ht="12.75" customHeight="1" x14ac:dyDescent="0.2">
      <c r="A1275" s="6"/>
      <c r="B1275" s="282"/>
      <c r="C1275" s="283"/>
      <c r="D1275" s="283"/>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row>
    <row r="1276" spans="1:51" ht="12.75" customHeight="1" x14ac:dyDescent="0.2">
      <c r="A1276" s="6"/>
      <c r="B1276" s="282"/>
      <c r="C1276" s="283"/>
      <c r="D1276" s="283"/>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6"/>
    </row>
    <row r="1277" spans="1:51" ht="12.75" customHeight="1" x14ac:dyDescent="0.2">
      <c r="A1277" s="6"/>
      <c r="B1277" s="282"/>
      <c r="C1277" s="283"/>
      <c r="D1277" s="283"/>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6"/>
    </row>
    <row r="1278" spans="1:51" ht="12.75" customHeight="1" x14ac:dyDescent="0.2">
      <c r="A1278" s="6"/>
      <c r="B1278" s="282"/>
      <c r="C1278" s="283"/>
      <c r="D1278" s="283"/>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row>
    <row r="1279" spans="1:51" ht="12.75" customHeight="1" x14ac:dyDescent="0.2">
      <c r="A1279" s="6"/>
      <c r="B1279" s="282"/>
      <c r="C1279" s="283"/>
      <c r="D1279" s="283"/>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6"/>
    </row>
    <row r="1280" spans="1:51" ht="12.75" customHeight="1" x14ac:dyDescent="0.2">
      <c r="A1280" s="6"/>
      <c r="B1280" s="282"/>
      <c r="C1280" s="283"/>
      <c r="D1280" s="283"/>
      <c r="E1280" s="6"/>
      <c r="F1280" s="6"/>
      <c r="G1280" s="6"/>
      <c r="H1280" s="6"/>
      <c r="I1280" s="6"/>
      <c r="J1280" s="6"/>
      <c r="K1280" s="6"/>
      <c r="L1280" s="6"/>
      <c r="M1280" s="6"/>
      <c r="N1280" s="6"/>
      <c r="O1280" s="6"/>
      <c r="P1280" s="6"/>
      <c r="Q1280" s="6"/>
      <c r="R1280" s="6"/>
      <c r="S1280" s="7"/>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6"/>
    </row>
    <row r="1281" spans="1:51" ht="12.75" customHeight="1" x14ac:dyDescent="0.2">
      <c r="A1281" s="6"/>
      <c r="B1281" s="282"/>
      <c r="C1281" s="283"/>
      <c r="D1281" s="283"/>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6"/>
    </row>
    <row r="1282" spans="1:51" ht="12.75" customHeight="1" x14ac:dyDescent="0.2">
      <c r="A1282" s="6"/>
      <c r="B1282" s="282"/>
      <c r="C1282" s="283"/>
      <c r="D1282" s="283"/>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6"/>
    </row>
    <row r="1283" spans="1:51" ht="12.75" customHeight="1" x14ac:dyDescent="0.2">
      <c r="A1283" s="6"/>
      <c r="B1283" s="282"/>
      <c r="C1283" s="283"/>
      <c r="D1283" s="283"/>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6"/>
    </row>
    <row r="1284" spans="1:51" ht="12.75" customHeight="1" x14ac:dyDescent="0.2">
      <c r="A1284" s="6"/>
      <c r="B1284" s="282"/>
      <c r="C1284" s="283"/>
      <c r="D1284" s="283"/>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c r="AX1284" s="6"/>
      <c r="AY1284" s="6"/>
    </row>
    <row r="1285" spans="1:51" ht="12.75" customHeight="1" x14ac:dyDescent="0.2">
      <c r="A1285" s="6"/>
      <c r="B1285" s="282"/>
      <c r="C1285" s="283"/>
      <c r="D1285" s="283"/>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c r="AX1285" s="6"/>
      <c r="AY1285" s="6"/>
    </row>
    <row r="1286" spans="1:51" ht="12.75" customHeight="1" x14ac:dyDescent="0.2">
      <c r="A1286" s="6"/>
      <c r="B1286" s="282"/>
      <c r="C1286" s="283"/>
      <c r="D1286" s="283"/>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row>
    <row r="1287" spans="1:51" ht="12.75" customHeight="1" x14ac:dyDescent="0.2">
      <c r="A1287" s="6"/>
      <c r="B1287" s="282"/>
      <c r="C1287" s="283"/>
      <c r="D1287" s="283"/>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row>
    <row r="1288" spans="1:51" ht="12.75" customHeight="1" x14ac:dyDescent="0.2">
      <c r="A1288" s="6"/>
      <c r="B1288" s="282"/>
      <c r="C1288" s="283"/>
      <c r="D1288" s="283"/>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row>
    <row r="1289" spans="1:51" ht="12.75" customHeight="1" x14ac:dyDescent="0.2">
      <c r="A1289" s="6"/>
      <c r="B1289" s="282"/>
      <c r="C1289" s="283"/>
      <c r="D1289" s="283"/>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row>
    <row r="1290" spans="1:51" ht="12.75" customHeight="1" x14ac:dyDescent="0.2">
      <c r="A1290" s="6"/>
      <c r="B1290" s="282"/>
      <c r="C1290" s="283"/>
      <c r="D1290" s="283"/>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row>
    <row r="1291" spans="1:51" ht="12.75" customHeight="1" x14ac:dyDescent="0.2">
      <c r="A1291" s="6"/>
      <c r="B1291" s="282"/>
      <c r="C1291" s="283"/>
      <c r="D1291" s="283"/>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row>
    <row r="1292" spans="1:51" ht="12.75" customHeight="1" x14ac:dyDescent="0.2">
      <c r="A1292" s="6"/>
      <c r="B1292" s="282"/>
      <c r="C1292" s="283"/>
      <c r="D1292" s="283"/>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6"/>
    </row>
    <row r="1293" spans="1:51" ht="12.75" customHeight="1" x14ac:dyDescent="0.2">
      <c r="A1293" s="6"/>
      <c r="B1293" s="282"/>
      <c r="C1293" s="283"/>
      <c r="D1293" s="283"/>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row>
    <row r="1294" spans="1:51" ht="12.75" customHeight="1" x14ac:dyDescent="0.2">
      <c r="A1294" s="6"/>
      <c r="B1294" s="282"/>
      <c r="C1294" s="283"/>
      <c r="D1294" s="283"/>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row>
    <row r="1295" spans="1:51" ht="12.75" customHeight="1" x14ac:dyDescent="0.2">
      <c r="A1295" s="6"/>
      <c r="B1295" s="282"/>
      <c r="C1295" s="283"/>
      <c r="D1295" s="283"/>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row>
    <row r="1296" spans="1:51" ht="12.75" customHeight="1" x14ac:dyDescent="0.2">
      <c r="A1296" s="6"/>
      <c r="B1296" s="282"/>
      <c r="C1296" s="283"/>
      <c r="D1296" s="283"/>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row>
    <row r="1297" spans="1:51" ht="12.75" customHeight="1" x14ac:dyDescent="0.2">
      <c r="A1297" s="6"/>
      <c r="B1297" s="282"/>
      <c r="C1297" s="283"/>
      <c r="D1297" s="283"/>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row>
    <row r="1298" spans="1:51" ht="12.75" customHeight="1" x14ac:dyDescent="0.2">
      <c r="A1298" s="6"/>
      <c r="B1298" s="282"/>
      <c r="C1298" s="283"/>
      <c r="D1298" s="283"/>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row>
    <row r="1299" spans="1:51" ht="12.75" customHeight="1" x14ac:dyDescent="0.2">
      <c r="A1299" s="6"/>
      <c r="B1299" s="282"/>
      <c r="C1299" s="283"/>
      <c r="D1299" s="283"/>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row>
    <row r="1300" spans="1:51" ht="12.75" customHeight="1" x14ac:dyDescent="0.2">
      <c r="A1300" s="6"/>
      <c r="B1300" s="282"/>
      <c r="C1300" s="283"/>
      <c r="D1300" s="283"/>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row>
    <row r="1301" spans="1:51" ht="12.75" customHeight="1" x14ac:dyDescent="0.2">
      <c r="A1301" s="6"/>
      <c r="B1301" s="282"/>
      <c r="C1301" s="283"/>
      <c r="D1301" s="283"/>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row>
    <row r="1302" spans="1:51" ht="12.75" customHeight="1" x14ac:dyDescent="0.2">
      <c r="A1302" s="6"/>
      <c r="B1302" s="282"/>
      <c r="C1302" s="283"/>
      <c r="D1302" s="283"/>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row>
    <row r="1303" spans="1:51" ht="12.75" customHeight="1" x14ac:dyDescent="0.2">
      <c r="A1303" s="6"/>
      <c r="B1303" s="282"/>
      <c r="C1303" s="283"/>
      <c r="D1303" s="283"/>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row>
    <row r="1304" spans="1:51" ht="12.75" customHeight="1" x14ac:dyDescent="0.2">
      <c r="A1304" s="6"/>
      <c r="B1304" s="282"/>
      <c r="C1304" s="283"/>
      <c r="D1304" s="283"/>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row>
    <row r="1305" spans="1:51" ht="12.75" customHeight="1" x14ac:dyDescent="0.2">
      <c r="A1305" s="6"/>
      <c r="B1305" s="282"/>
      <c r="C1305" s="283"/>
      <c r="D1305" s="283"/>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row>
    <row r="1306" spans="1:51" ht="12.75" customHeight="1" x14ac:dyDescent="0.2">
      <c r="A1306" s="6"/>
      <c r="B1306" s="282"/>
      <c r="C1306" s="283"/>
      <c r="D1306" s="283"/>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row>
    <row r="1307" spans="1:51" ht="12.75" customHeight="1" x14ac:dyDescent="0.2">
      <c r="A1307" s="6"/>
      <c r="B1307" s="282"/>
      <c r="C1307" s="283"/>
      <c r="D1307" s="283"/>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row>
    <row r="1308" spans="1:51" ht="12.75" customHeight="1" x14ac:dyDescent="0.2">
      <c r="A1308" s="6"/>
      <c r="B1308" s="282"/>
      <c r="C1308" s="283"/>
      <c r="D1308" s="283"/>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6"/>
    </row>
    <row r="1309" spans="1:51" ht="12.75" customHeight="1" x14ac:dyDescent="0.2">
      <c r="A1309" s="6"/>
      <c r="B1309" s="282"/>
      <c r="C1309" s="283"/>
      <c r="D1309" s="283"/>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row>
    <row r="1310" spans="1:51" ht="12.75" customHeight="1" x14ac:dyDescent="0.2">
      <c r="A1310" s="6"/>
      <c r="B1310" s="282"/>
      <c r="C1310" s="283"/>
      <c r="D1310" s="283"/>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row>
    <row r="1311" spans="1:51" ht="12.75" customHeight="1" x14ac:dyDescent="0.2">
      <c r="A1311" s="6"/>
      <c r="B1311" s="282"/>
      <c r="C1311" s="283"/>
      <c r="D1311" s="283"/>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row>
    <row r="1312" spans="1:51" ht="12.75" customHeight="1" x14ac:dyDescent="0.2">
      <c r="A1312" s="6"/>
      <c r="B1312" s="282"/>
      <c r="C1312" s="283"/>
      <c r="D1312" s="283"/>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row>
    <row r="1313" spans="1:51" ht="12.75" customHeight="1" x14ac:dyDescent="0.2">
      <c r="A1313" s="6"/>
      <c r="B1313" s="282"/>
      <c r="C1313" s="283"/>
      <c r="D1313" s="283"/>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row>
    <row r="1314" spans="1:51" ht="12.75" customHeight="1" x14ac:dyDescent="0.2">
      <c r="A1314" s="6"/>
      <c r="B1314" s="282"/>
      <c r="C1314" s="283"/>
      <c r="D1314" s="283"/>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row>
    <row r="1315" spans="1:51" ht="12.75" customHeight="1" x14ac:dyDescent="0.2">
      <c r="A1315" s="6"/>
      <c r="B1315" s="282"/>
      <c r="C1315" s="283"/>
      <c r="D1315" s="283"/>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row>
    <row r="1316" spans="1:51" ht="12.75" customHeight="1" x14ac:dyDescent="0.2">
      <c r="A1316" s="6"/>
      <c r="B1316" s="282"/>
      <c r="C1316" s="283"/>
      <c r="D1316" s="283"/>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row>
    <row r="1317" spans="1:51" ht="12.75" customHeight="1" x14ac:dyDescent="0.2">
      <c r="A1317" s="6"/>
      <c r="B1317" s="282"/>
      <c r="C1317" s="283"/>
      <c r="D1317" s="283"/>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row>
    <row r="1318" spans="1:51" ht="12.75" customHeight="1" x14ac:dyDescent="0.2">
      <c r="A1318" s="6"/>
      <c r="B1318" s="282"/>
      <c r="C1318" s="283"/>
      <c r="D1318" s="283"/>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row>
    <row r="1319" spans="1:51" ht="12.75" customHeight="1" x14ac:dyDescent="0.2">
      <c r="A1319" s="6"/>
      <c r="B1319" s="282"/>
      <c r="C1319" s="283"/>
      <c r="D1319" s="283"/>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row>
    <row r="1320" spans="1:51" ht="12.75" customHeight="1" x14ac:dyDescent="0.2">
      <c r="A1320" s="6"/>
      <c r="B1320" s="282"/>
      <c r="C1320" s="283"/>
      <c r="D1320" s="283"/>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row>
    <row r="1321" spans="1:51" ht="12.75" customHeight="1" x14ac:dyDescent="0.2">
      <c r="A1321" s="6"/>
      <c r="B1321" s="282"/>
      <c r="C1321" s="283"/>
      <c r="D1321" s="283"/>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row>
    <row r="1322" spans="1:51" ht="12.75" customHeight="1" x14ac:dyDescent="0.2">
      <c r="A1322" s="6"/>
      <c r="B1322" s="282"/>
      <c r="C1322" s="283"/>
      <c r="D1322" s="283"/>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row>
    <row r="1323" spans="1:51" ht="12.75" customHeight="1" x14ac:dyDescent="0.2">
      <c r="A1323" s="6"/>
      <c r="B1323" s="282"/>
      <c r="C1323" s="283"/>
      <c r="D1323" s="283"/>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6"/>
    </row>
    <row r="1324" spans="1:51" ht="12.75" customHeight="1" x14ac:dyDescent="0.2">
      <c r="A1324" s="6"/>
      <c r="B1324" s="282"/>
      <c r="C1324" s="283"/>
      <c r="D1324" s="283"/>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row>
    <row r="1325" spans="1:51" ht="12.75" customHeight="1" x14ac:dyDescent="0.2">
      <c r="A1325" s="6"/>
      <c r="B1325" s="282"/>
      <c r="C1325" s="283"/>
      <c r="D1325" s="283"/>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row>
    <row r="1326" spans="1:51" ht="12.75" customHeight="1" x14ac:dyDescent="0.2">
      <c r="A1326" s="6"/>
      <c r="B1326" s="282"/>
      <c r="C1326" s="283"/>
      <c r="D1326" s="283"/>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row>
    <row r="1327" spans="1:51" ht="12.75" customHeight="1" x14ac:dyDescent="0.2">
      <c r="A1327" s="6"/>
      <c r="B1327" s="282"/>
      <c r="C1327" s="283"/>
      <c r="D1327" s="283"/>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6"/>
    </row>
    <row r="1328" spans="1:51" ht="12.75" customHeight="1" x14ac:dyDescent="0.2">
      <c r="A1328" s="6"/>
      <c r="B1328" s="282"/>
      <c r="C1328" s="283"/>
      <c r="D1328" s="283"/>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row>
    <row r="1329" spans="1:51" ht="12.75" customHeight="1" x14ac:dyDescent="0.2">
      <c r="A1329" s="6"/>
      <c r="B1329" s="282"/>
      <c r="C1329" s="283"/>
      <c r="D1329" s="283"/>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row>
    <row r="1330" spans="1:51" ht="12.75" customHeight="1" x14ac:dyDescent="0.2">
      <c r="A1330" s="6"/>
      <c r="B1330" s="282"/>
      <c r="C1330" s="283"/>
      <c r="D1330" s="283"/>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row>
    <row r="1331" spans="1:51" ht="12.75" customHeight="1" x14ac:dyDescent="0.2">
      <c r="A1331" s="6"/>
      <c r="B1331" s="282"/>
      <c r="C1331" s="283"/>
      <c r="D1331" s="283"/>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row>
    <row r="1332" spans="1:51" ht="12.75" customHeight="1" x14ac:dyDescent="0.2">
      <c r="A1332" s="6"/>
      <c r="B1332" s="282"/>
      <c r="C1332" s="283"/>
      <c r="D1332" s="283"/>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row>
    <row r="1333" spans="1:51" ht="12.75" customHeight="1" x14ac:dyDescent="0.2">
      <c r="A1333" s="6"/>
      <c r="B1333" s="282"/>
      <c r="C1333" s="283"/>
      <c r="D1333" s="283"/>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row>
    <row r="1334" spans="1:51" ht="12.75" customHeight="1" x14ac:dyDescent="0.2">
      <c r="A1334" s="6"/>
      <c r="B1334" s="282"/>
      <c r="C1334" s="283"/>
      <c r="D1334" s="283"/>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row>
    <row r="1335" spans="1:51" ht="12.75" customHeight="1" x14ac:dyDescent="0.2">
      <c r="A1335" s="6"/>
      <c r="B1335" s="282"/>
      <c r="C1335" s="283"/>
      <c r="D1335" s="283"/>
      <c r="E1335" s="6"/>
      <c r="F1335" s="6"/>
      <c r="G1335" s="6"/>
      <c r="H1335" s="6"/>
      <c r="I1335" s="6"/>
      <c r="J1335" s="6"/>
      <c r="K1335" s="6"/>
      <c r="L1335" s="6"/>
      <c r="M1335" s="6"/>
      <c r="N1335" s="6"/>
      <c r="O1335" s="6"/>
      <c r="P1335" s="6"/>
      <c r="Q1335" s="6"/>
      <c r="R1335" s="6"/>
      <c r="S1335" s="294"/>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row>
    <row r="1336" spans="1:51" ht="12.75" customHeight="1" x14ac:dyDescent="0.2">
      <c r="A1336" s="6"/>
      <c r="B1336" s="282"/>
      <c r="C1336" s="283"/>
      <c r="D1336" s="283"/>
      <c r="E1336" s="6"/>
      <c r="F1336" s="6"/>
      <c r="G1336" s="6"/>
      <c r="H1336" s="6"/>
      <c r="I1336" s="6"/>
      <c r="J1336" s="6"/>
      <c r="K1336" s="6"/>
      <c r="L1336" s="6"/>
      <c r="M1336" s="6"/>
      <c r="N1336" s="6"/>
      <c r="O1336" s="6"/>
      <c r="P1336" s="6"/>
      <c r="Q1336" s="6"/>
      <c r="R1336" s="6"/>
      <c r="S1336" s="294"/>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row>
    <row r="1337" spans="1:51" ht="12.75" customHeight="1" x14ac:dyDescent="0.2">
      <c r="A1337" s="6"/>
      <c r="B1337" s="282"/>
      <c r="C1337" s="283"/>
      <c r="D1337" s="283"/>
      <c r="E1337" s="6"/>
      <c r="F1337" s="6"/>
      <c r="G1337" s="6"/>
      <c r="H1337" s="6"/>
      <c r="I1337" s="6"/>
      <c r="J1337" s="6"/>
      <c r="K1337" s="6"/>
      <c r="L1337" s="6"/>
      <c r="M1337" s="6"/>
      <c r="N1337" s="6"/>
      <c r="O1337" s="6"/>
      <c r="P1337" s="6"/>
      <c r="Q1337" s="6"/>
      <c r="R1337" s="6"/>
      <c r="S1337" s="7"/>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row>
    <row r="1338" spans="1:51" ht="12.75" customHeight="1" x14ac:dyDescent="0.2">
      <c r="A1338" s="6"/>
      <c r="B1338" s="282"/>
      <c r="C1338" s="283"/>
      <c r="D1338" s="283"/>
      <c r="E1338" s="6"/>
      <c r="F1338" s="6"/>
      <c r="G1338" s="6"/>
      <c r="H1338" s="6"/>
      <c r="I1338" s="6"/>
      <c r="J1338" s="6"/>
      <c r="K1338" s="6"/>
      <c r="L1338" s="6"/>
      <c r="M1338" s="6"/>
      <c r="N1338" s="6"/>
      <c r="O1338" s="6"/>
      <c r="P1338" s="6"/>
      <c r="Q1338" s="6"/>
      <c r="R1338" s="6"/>
      <c r="S1338" s="7"/>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row>
    <row r="1339" spans="1:51" ht="12.75" customHeight="1" x14ac:dyDescent="0.2">
      <c r="A1339" s="6"/>
      <c r="B1339" s="282"/>
      <c r="C1339" s="283"/>
      <c r="D1339" s="283"/>
      <c r="E1339" s="6"/>
      <c r="F1339" s="6"/>
      <c r="G1339" s="6"/>
      <c r="H1339" s="6"/>
      <c r="I1339" s="6"/>
      <c r="J1339" s="6"/>
      <c r="K1339" s="6"/>
      <c r="L1339" s="6"/>
      <c r="M1339" s="6"/>
      <c r="N1339" s="6"/>
      <c r="O1339" s="6"/>
      <c r="P1339" s="6"/>
      <c r="Q1339" s="6"/>
      <c r="R1339" s="6"/>
      <c r="S1339" s="7"/>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row>
    <row r="1340" spans="1:51" ht="12.75" customHeight="1" x14ac:dyDescent="0.2">
      <c r="A1340" s="6"/>
      <c r="B1340" s="282"/>
      <c r="C1340" s="283"/>
      <c r="D1340" s="283"/>
      <c r="E1340" s="6"/>
      <c r="F1340" s="6"/>
      <c r="G1340" s="6"/>
      <c r="H1340" s="6"/>
      <c r="I1340" s="6"/>
      <c r="J1340" s="6"/>
      <c r="K1340" s="6"/>
      <c r="L1340" s="6"/>
      <c r="M1340" s="6"/>
      <c r="N1340" s="6"/>
      <c r="O1340" s="6"/>
      <c r="P1340" s="6"/>
      <c r="Q1340" s="6"/>
      <c r="R1340" s="6"/>
      <c r="S1340" s="7"/>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row>
    <row r="1341" spans="1:51" ht="12.75" customHeight="1" x14ac:dyDescent="0.2">
      <c r="A1341" s="6"/>
      <c r="B1341" s="282"/>
      <c r="C1341" s="283"/>
      <c r="D1341" s="283"/>
      <c r="E1341" s="6"/>
      <c r="F1341" s="6"/>
      <c r="G1341" s="6"/>
      <c r="H1341" s="6"/>
      <c r="I1341" s="6"/>
      <c r="J1341" s="6"/>
      <c r="K1341" s="6"/>
      <c r="L1341" s="6"/>
      <c r="M1341" s="6"/>
      <c r="N1341" s="6"/>
      <c r="O1341" s="6"/>
      <c r="P1341" s="6"/>
      <c r="Q1341" s="6"/>
      <c r="R1341" s="6"/>
      <c r="S1341" s="7"/>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row>
    <row r="1342" spans="1:51" ht="12.75" customHeight="1" x14ac:dyDescent="0.2">
      <c r="A1342" s="6"/>
      <c r="B1342" s="282"/>
      <c r="C1342" s="283"/>
      <c r="D1342" s="283"/>
      <c r="E1342" s="6"/>
      <c r="F1342" s="6"/>
      <c r="G1342" s="6"/>
      <c r="H1342" s="6"/>
      <c r="I1342" s="6"/>
      <c r="J1342" s="6"/>
      <c r="K1342" s="6"/>
      <c r="L1342" s="6"/>
      <c r="M1342" s="6"/>
      <c r="N1342" s="6"/>
      <c r="O1342" s="6"/>
      <c r="P1342" s="6"/>
      <c r="Q1342" s="6"/>
      <c r="R1342" s="6"/>
      <c r="S1342" s="7"/>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row>
    <row r="1343" spans="1:51" ht="12.75" customHeight="1" x14ac:dyDescent="0.2">
      <c r="A1343" s="6"/>
      <c r="B1343" s="282"/>
      <c r="C1343" s="283"/>
      <c r="D1343" s="283"/>
      <c r="E1343" s="6"/>
      <c r="F1343" s="6"/>
      <c r="G1343" s="6"/>
      <c r="H1343" s="6"/>
      <c r="I1343" s="6"/>
      <c r="J1343" s="6"/>
      <c r="K1343" s="6"/>
      <c r="L1343" s="6"/>
      <c r="M1343" s="6"/>
      <c r="N1343" s="6"/>
      <c r="O1343" s="6"/>
      <c r="P1343" s="6"/>
      <c r="Q1343" s="6"/>
      <c r="R1343" s="6"/>
      <c r="S1343" s="7"/>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row>
    <row r="1344" spans="1:51" ht="12.75" customHeight="1" x14ac:dyDescent="0.2">
      <c r="A1344" s="6"/>
      <c r="B1344" s="282"/>
      <c r="C1344" s="283"/>
      <c r="D1344" s="283"/>
      <c r="E1344" s="6"/>
      <c r="F1344" s="6"/>
      <c r="G1344" s="6"/>
      <c r="H1344" s="6"/>
      <c r="I1344" s="6"/>
      <c r="J1344" s="6"/>
      <c r="K1344" s="6"/>
      <c r="L1344" s="6"/>
      <c r="M1344" s="6"/>
      <c r="N1344" s="6"/>
      <c r="O1344" s="6"/>
      <c r="P1344" s="6"/>
      <c r="Q1344" s="6"/>
      <c r="R1344" s="6"/>
      <c r="S1344" s="7"/>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row>
    <row r="1345" spans="1:51" ht="12.75" customHeight="1" x14ac:dyDescent="0.2">
      <c r="A1345" s="6"/>
      <c r="B1345" s="282"/>
      <c r="C1345" s="283"/>
      <c r="D1345" s="283"/>
      <c r="E1345" s="6"/>
      <c r="F1345" s="6"/>
      <c r="G1345" s="6"/>
      <c r="H1345" s="6"/>
      <c r="I1345" s="6"/>
      <c r="J1345" s="6"/>
      <c r="K1345" s="6"/>
      <c r="L1345" s="6"/>
      <c r="M1345" s="6"/>
      <c r="N1345" s="6"/>
      <c r="O1345" s="6"/>
      <c r="P1345" s="6"/>
      <c r="Q1345" s="6"/>
      <c r="R1345" s="6"/>
      <c r="S1345" s="7"/>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row>
    <row r="1346" spans="1:51" ht="12.75" customHeight="1" x14ac:dyDescent="0.2">
      <c r="A1346" s="6"/>
      <c r="B1346" s="282"/>
      <c r="C1346" s="283"/>
      <c r="D1346" s="283"/>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row>
    <row r="1347" spans="1:51" ht="12.75" customHeight="1" x14ac:dyDescent="0.2">
      <c r="A1347" s="6"/>
      <c r="B1347" s="282"/>
      <c r="C1347" s="283"/>
      <c r="D1347" s="283"/>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row>
    <row r="1348" spans="1:51" ht="12.75" customHeight="1" x14ac:dyDescent="0.2">
      <c r="A1348" s="6"/>
      <c r="B1348" s="282"/>
      <c r="C1348" s="283"/>
      <c r="D1348" s="283"/>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row>
    <row r="1349" spans="1:51" ht="12.75" customHeight="1" x14ac:dyDescent="0.2">
      <c r="A1349" s="6"/>
      <c r="B1349" s="282"/>
      <c r="C1349" s="283"/>
      <c r="D1349" s="283"/>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row>
    <row r="1350" spans="1:51" ht="12.75" customHeight="1" x14ac:dyDescent="0.2">
      <c r="A1350" s="6"/>
      <c r="B1350" s="282"/>
      <c r="C1350" s="283"/>
      <c r="D1350" s="283"/>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row>
    <row r="1351" spans="1:51" ht="12.75" customHeight="1" x14ac:dyDescent="0.2">
      <c r="A1351" s="6"/>
      <c r="B1351" s="282"/>
      <c r="C1351" s="283"/>
      <c r="D1351" s="283"/>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row>
    <row r="1352" spans="1:51" ht="12.75" customHeight="1" x14ac:dyDescent="0.2">
      <c r="A1352" s="6"/>
      <c r="B1352" s="282"/>
      <c r="C1352" s="283"/>
      <c r="D1352" s="283"/>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row>
    <row r="1353" spans="1:51" ht="12.75" customHeight="1" x14ac:dyDescent="0.2">
      <c r="A1353" s="6"/>
      <c r="B1353" s="282"/>
      <c r="C1353" s="283"/>
      <c r="D1353" s="283"/>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row>
    <row r="1354" spans="1:51" ht="12.75" customHeight="1" x14ac:dyDescent="0.2">
      <c r="A1354" s="6"/>
      <c r="B1354" s="282"/>
      <c r="C1354" s="283"/>
      <c r="D1354" s="283"/>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row>
    <row r="1355" spans="1:51" ht="12.75" customHeight="1" x14ac:dyDescent="0.2">
      <c r="A1355" s="6"/>
      <c r="B1355" s="282"/>
      <c r="C1355" s="283"/>
      <c r="D1355" s="283"/>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row>
    <row r="1356" spans="1:51" ht="12.75" customHeight="1" x14ac:dyDescent="0.2">
      <c r="A1356" s="6"/>
      <c r="B1356" s="282"/>
      <c r="C1356" s="283"/>
      <c r="D1356" s="283"/>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row>
    <row r="1357" spans="1:51" ht="12.75" customHeight="1" x14ac:dyDescent="0.2">
      <c r="A1357" s="6"/>
      <c r="B1357" s="282"/>
      <c r="C1357" s="283"/>
      <c r="D1357" s="283"/>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row>
    <row r="1358" spans="1:51" ht="12.75" customHeight="1" x14ac:dyDescent="0.2">
      <c r="A1358" s="6"/>
      <c r="B1358" s="282"/>
      <c r="C1358" s="283"/>
      <c r="D1358" s="283"/>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row>
    <row r="1359" spans="1:51" ht="12.75" customHeight="1" x14ac:dyDescent="0.2">
      <c r="A1359" s="6"/>
      <c r="B1359" s="282"/>
      <c r="C1359" s="283"/>
      <c r="D1359" s="283"/>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row>
    <row r="1360" spans="1:51" ht="12.75" customHeight="1" x14ac:dyDescent="0.2">
      <c r="A1360" s="6"/>
      <c r="B1360" s="282"/>
      <c r="C1360" s="283"/>
      <c r="D1360" s="283"/>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row>
    <row r="1361" spans="1:51" ht="12.75" customHeight="1" x14ac:dyDescent="0.2">
      <c r="A1361" s="6"/>
      <c r="B1361" s="282"/>
      <c r="C1361" s="283"/>
      <c r="D1361" s="283"/>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row>
    <row r="1362" spans="1:51" ht="12.75" customHeight="1" x14ac:dyDescent="0.2">
      <c r="A1362" s="6"/>
      <c r="B1362" s="282"/>
      <c r="C1362" s="283"/>
      <c r="D1362" s="283"/>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row>
    <row r="1363" spans="1:51" ht="12.75" customHeight="1" x14ac:dyDescent="0.2">
      <c r="A1363" s="6"/>
      <c r="B1363" s="282"/>
      <c r="C1363" s="283"/>
      <c r="D1363" s="283"/>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row>
    <row r="1364" spans="1:51" ht="12.75" customHeight="1" x14ac:dyDescent="0.2">
      <c r="A1364" s="6"/>
      <c r="B1364" s="282"/>
      <c r="C1364" s="283"/>
      <c r="D1364" s="283"/>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row>
    <row r="1365" spans="1:51" ht="12.75" customHeight="1" x14ac:dyDescent="0.2">
      <c r="A1365" s="6"/>
      <c r="B1365" s="282"/>
      <c r="C1365" s="283"/>
      <c r="D1365" s="283"/>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row>
    <row r="1366" spans="1:51" ht="12.75" customHeight="1" x14ac:dyDescent="0.2">
      <c r="A1366" s="6"/>
      <c r="B1366" s="282"/>
      <c r="C1366" s="283"/>
      <c r="D1366" s="283"/>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row>
    <row r="1367" spans="1:51" ht="12.75" customHeight="1" x14ac:dyDescent="0.2">
      <c r="A1367" s="6"/>
      <c r="B1367" s="282"/>
      <c r="C1367" s="283"/>
      <c r="D1367" s="283"/>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row>
    <row r="1368" spans="1:51" ht="12.75" customHeight="1" x14ac:dyDescent="0.2">
      <c r="A1368" s="6"/>
      <c r="B1368" s="282"/>
      <c r="C1368" s="283"/>
      <c r="D1368" s="283"/>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row>
    <row r="1369" spans="1:51" ht="12.75" customHeight="1" x14ac:dyDescent="0.2">
      <c r="A1369" s="6"/>
      <c r="B1369" s="282"/>
      <c r="C1369" s="283"/>
      <c r="D1369" s="283"/>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row>
    <row r="1370" spans="1:51" ht="12.75" customHeight="1" x14ac:dyDescent="0.2">
      <c r="A1370" s="6"/>
      <c r="B1370" s="282"/>
      <c r="C1370" s="283"/>
      <c r="D1370" s="283"/>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row>
    <row r="1371" spans="1:51" ht="12.75" customHeight="1" x14ac:dyDescent="0.2">
      <c r="A1371" s="6"/>
      <c r="B1371" s="282"/>
      <c r="C1371" s="283"/>
      <c r="D1371" s="283"/>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row>
    <row r="1372" spans="1:51" ht="12.75" customHeight="1" x14ac:dyDescent="0.2">
      <c r="A1372" s="6"/>
      <c r="B1372" s="282"/>
      <c r="C1372" s="283"/>
      <c r="D1372" s="283"/>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row>
    <row r="1373" spans="1:51" ht="12.75" customHeight="1" x14ac:dyDescent="0.2">
      <c r="A1373" s="6"/>
      <c r="B1373" s="282"/>
      <c r="C1373" s="283"/>
      <c r="D1373" s="283"/>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row>
    <row r="1374" spans="1:51" ht="12.75" customHeight="1" x14ac:dyDescent="0.2">
      <c r="A1374" s="6"/>
      <c r="B1374" s="282"/>
      <c r="C1374" s="283"/>
      <c r="D1374" s="283"/>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row>
    <row r="1375" spans="1:51" ht="12.75" customHeight="1" x14ac:dyDescent="0.2">
      <c r="A1375" s="6"/>
      <c r="B1375" s="282"/>
      <c r="C1375" s="283"/>
      <c r="D1375" s="283"/>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row>
    <row r="1376" spans="1:51" ht="12.75" customHeight="1" x14ac:dyDescent="0.2">
      <c r="A1376" s="6"/>
      <c r="B1376" s="282"/>
      <c r="C1376" s="283"/>
      <c r="D1376" s="283"/>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row>
    <row r="1377" spans="1:51" ht="12.75" customHeight="1" x14ac:dyDescent="0.2">
      <c r="A1377" s="6"/>
      <c r="B1377" s="282"/>
      <c r="C1377" s="283"/>
      <c r="D1377" s="283"/>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row>
    <row r="1378" spans="1:51" ht="12.75" customHeight="1" x14ac:dyDescent="0.2">
      <c r="A1378" s="6"/>
      <c r="B1378" s="282"/>
      <c r="C1378" s="283"/>
      <c r="D1378" s="283"/>
      <c r="E1378" s="6"/>
      <c r="F1378" s="6"/>
      <c r="G1378" s="6"/>
      <c r="H1378" s="6"/>
      <c r="I1378" s="6"/>
      <c r="J1378" s="6"/>
      <c r="K1378" s="6"/>
      <c r="L1378" s="6"/>
      <c r="M1378" s="6"/>
      <c r="N1378" s="6"/>
      <c r="O1378" s="6"/>
      <c r="P1378" s="6"/>
      <c r="Q1378" s="6"/>
      <c r="R1378" s="6"/>
      <c r="S1378" s="7"/>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row>
    <row r="1379" spans="1:51" ht="12.75" customHeight="1" x14ac:dyDescent="0.2">
      <c r="A1379" s="6"/>
      <c r="B1379" s="282"/>
      <c r="C1379" s="283"/>
      <c r="D1379" s="283"/>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row>
    <row r="1380" spans="1:51" ht="12.75" customHeight="1" x14ac:dyDescent="0.2">
      <c r="A1380" s="6"/>
      <c r="B1380" s="282"/>
      <c r="C1380" s="283"/>
      <c r="D1380" s="283"/>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row>
    <row r="1381" spans="1:51" ht="12.75" customHeight="1" x14ac:dyDescent="0.2">
      <c r="A1381" s="6"/>
      <c r="B1381" s="282"/>
      <c r="C1381" s="283"/>
      <c r="D1381" s="283"/>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row>
    <row r="1382" spans="1:51" ht="12.75" customHeight="1" x14ac:dyDescent="0.2">
      <c r="A1382" s="6"/>
      <c r="B1382" s="282"/>
      <c r="C1382" s="283"/>
      <c r="D1382" s="283"/>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row>
    <row r="1383" spans="1:51" ht="12.75" customHeight="1" x14ac:dyDescent="0.2">
      <c r="A1383" s="6"/>
      <c r="B1383" s="282"/>
      <c r="C1383" s="283"/>
      <c r="D1383" s="283"/>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row>
    <row r="1384" spans="1:51" ht="12.75" customHeight="1" x14ac:dyDescent="0.2">
      <c r="A1384" s="6"/>
      <c r="B1384" s="282"/>
      <c r="C1384" s="283"/>
      <c r="D1384" s="283"/>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row>
    <row r="1385" spans="1:51" ht="12.75" customHeight="1" x14ac:dyDescent="0.2">
      <c r="A1385" s="6"/>
      <c r="B1385" s="282"/>
      <c r="C1385" s="283"/>
      <c r="D1385" s="283"/>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row>
    <row r="1386" spans="1:51" ht="12.75" customHeight="1" x14ac:dyDescent="0.2">
      <c r="A1386" s="6"/>
      <c r="B1386" s="282"/>
      <c r="C1386" s="283"/>
      <c r="D1386" s="283"/>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row>
    <row r="1387" spans="1:51" ht="12.75" customHeight="1" x14ac:dyDescent="0.2">
      <c r="A1387" s="6"/>
      <c r="B1387" s="282"/>
      <c r="C1387" s="283"/>
      <c r="D1387" s="283"/>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row>
    <row r="1388" spans="1:51" ht="12.75" customHeight="1" x14ac:dyDescent="0.2">
      <c r="A1388" s="6"/>
      <c r="B1388" s="282"/>
      <c r="C1388" s="283"/>
      <c r="D1388" s="283"/>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row>
    <row r="1389" spans="1:51" ht="12.75" customHeight="1" x14ac:dyDescent="0.2">
      <c r="A1389" s="6"/>
      <c r="B1389" s="282"/>
      <c r="C1389" s="283"/>
      <c r="D1389" s="283"/>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row>
    <row r="1390" spans="1:51" ht="12.75" customHeight="1" x14ac:dyDescent="0.2">
      <c r="A1390" s="6"/>
      <c r="B1390" s="282"/>
      <c r="C1390" s="283"/>
      <c r="D1390" s="283"/>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row>
    <row r="1391" spans="1:51" ht="12.75" customHeight="1" x14ac:dyDescent="0.2">
      <c r="A1391" s="6"/>
      <c r="B1391" s="282"/>
      <c r="C1391" s="283"/>
      <c r="D1391" s="283"/>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row>
    <row r="1392" spans="1:51" ht="12.75" customHeight="1" x14ac:dyDescent="0.2">
      <c r="A1392" s="6"/>
      <c r="B1392" s="282"/>
      <c r="C1392" s="283"/>
      <c r="D1392" s="283"/>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row>
    <row r="1393" spans="1:51" ht="12.75" customHeight="1" x14ac:dyDescent="0.2">
      <c r="A1393" s="6"/>
      <c r="B1393" s="282"/>
      <c r="C1393" s="283"/>
      <c r="D1393" s="283"/>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row>
    <row r="1394" spans="1:51" ht="12.75" customHeight="1" x14ac:dyDescent="0.2">
      <c r="A1394" s="6"/>
      <c r="B1394" s="282"/>
      <c r="C1394" s="283"/>
      <c r="D1394" s="283"/>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row>
    <row r="1395" spans="1:51" ht="12.75" customHeight="1" x14ac:dyDescent="0.2">
      <c r="A1395" s="6"/>
      <c r="B1395" s="282"/>
      <c r="C1395" s="283"/>
      <c r="D1395" s="283"/>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row>
    <row r="1396" spans="1:51" ht="12.75" customHeight="1" x14ac:dyDescent="0.2">
      <c r="A1396" s="6"/>
      <c r="B1396" s="282"/>
      <c r="C1396" s="283"/>
      <c r="D1396" s="283"/>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row>
    <row r="1397" spans="1:51" ht="12.75" customHeight="1" x14ac:dyDescent="0.2">
      <c r="A1397" s="6"/>
      <c r="B1397" s="282"/>
      <c r="C1397" s="283"/>
      <c r="D1397" s="283"/>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row>
    <row r="1398" spans="1:51" ht="12.75" customHeight="1" x14ac:dyDescent="0.2">
      <c r="A1398" s="6"/>
      <c r="B1398" s="282"/>
      <c r="C1398" s="283"/>
      <c r="D1398" s="283"/>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row>
    <row r="1399" spans="1:51" ht="12.75" customHeight="1" x14ac:dyDescent="0.2">
      <c r="A1399" s="6"/>
      <c r="B1399" s="282"/>
      <c r="C1399" s="283"/>
      <c r="D1399" s="283"/>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row>
    <row r="1400" spans="1:51" ht="12.75" customHeight="1" x14ac:dyDescent="0.2">
      <c r="A1400" s="6"/>
      <c r="B1400" s="282"/>
      <c r="C1400" s="283"/>
      <c r="D1400" s="283"/>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row>
    <row r="1401" spans="1:51" ht="12.75" customHeight="1" x14ac:dyDescent="0.2">
      <c r="A1401" s="6"/>
      <c r="B1401" s="282"/>
      <c r="C1401" s="283"/>
      <c r="D1401" s="283"/>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row>
    <row r="1402" spans="1:51" ht="12.75" customHeight="1" x14ac:dyDescent="0.2">
      <c r="A1402" s="6"/>
      <c r="B1402" s="282"/>
      <c r="C1402" s="283"/>
      <c r="D1402" s="283"/>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row>
    <row r="1403" spans="1:51" ht="12.75" customHeight="1" x14ac:dyDescent="0.2">
      <c r="A1403" s="6"/>
      <c r="B1403" s="282"/>
      <c r="C1403" s="283"/>
      <c r="D1403" s="283"/>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row>
    <row r="1404" spans="1:51" ht="12.75" customHeight="1" x14ac:dyDescent="0.2">
      <c r="A1404" s="6"/>
      <c r="B1404" s="282"/>
      <c r="C1404" s="283"/>
      <c r="D1404" s="283"/>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row>
    <row r="1405" spans="1:51" ht="12.75" customHeight="1" x14ac:dyDescent="0.2">
      <c r="A1405" s="6"/>
      <c r="B1405" s="282"/>
      <c r="C1405" s="283"/>
      <c r="D1405" s="283"/>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row>
    <row r="1406" spans="1:51" ht="12.75" customHeight="1" x14ac:dyDescent="0.2">
      <c r="A1406" s="6"/>
      <c r="B1406" s="282"/>
      <c r="C1406" s="283"/>
      <c r="D1406" s="283"/>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row>
    <row r="1407" spans="1:51" ht="12.75" customHeight="1" x14ac:dyDescent="0.2">
      <c r="A1407" s="6"/>
      <c r="B1407" s="282"/>
      <c r="C1407" s="283"/>
      <c r="D1407" s="283"/>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row>
    <row r="1408" spans="1:51" ht="12.75" customHeight="1" x14ac:dyDescent="0.2">
      <c r="A1408" s="6"/>
      <c r="B1408" s="282"/>
      <c r="C1408" s="283"/>
      <c r="D1408" s="283"/>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row>
    <row r="1409" spans="1:51" ht="12.75" customHeight="1" x14ac:dyDescent="0.2">
      <c r="A1409" s="6"/>
      <c r="B1409" s="282"/>
      <c r="C1409" s="283"/>
      <c r="D1409" s="283"/>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row>
    <row r="1410" spans="1:51" ht="12.75" customHeight="1" x14ac:dyDescent="0.2">
      <c r="A1410" s="6"/>
      <c r="B1410" s="282"/>
      <c r="C1410" s="283"/>
      <c r="D1410" s="283"/>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row>
    <row r="1411" spans="1:51" ht="12.75" customHeight="1" x14ac:dyDescent="0.2">
      <c r="A1411" s="6"/>
      <c r="B1411" s="282"/>
      <c r="C1411" s="283"/>
      <c r="D1411" s="283"/>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row>
    <row r="1412" spans="1:51" ht="12.75" customHeight="1" x14ac:dyDescent="0.2">
      <c r="A1412" s="6"/>
      <c r="B1412" s="282"/>
      <c r="C1412" s="283"/>
      <c r="D1412" s="283"/>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row>
    <row r="1413" spans="1:51" ht="12.75" customHeight="1" x14ac:dyDescent="0.2">
      <c r="A1413" s="6"/>
      <c r="B1413" s="282"/>
      <c r="C1413" s="283"/>
      <c r="D1413" s="283"/>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6"/>
    </row>
    <row r="1414" spans="1:51" ht="12.75" customHeight="1" x14ac:dyDescent="0.2">
      <c r="A1414" s="6"/>
      <c r="B1414" s="282"/>
      <c r="C1414" s="283"/>
      <c r="D1414" s="283"/>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row>
    <row r="1415" spans="1:51" ht="12.75" customHeight="1" x14ac:dyDescent="0.2">
      <c r="A1415" s="6"/>
      <c r="B1415" s="282"/>
      <c r="C1415" s="283"/>
      <c r="D1415" s="283"/>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row>
    <row r="1416" spans="1:51" ht="12.75" customHeight="1" x14ac:dyDescent="0.2">
      <c r="A1416" s="6"/>
      <c r="B1416" s="282"/>
      <c r="C1416" s="283"/>
      <c r="D1416" s="283"/>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row>
    <row r="1417" spans="1:51" ht="12.75" customHeight="1" x14ac:dyDescent="0.2">
      <c r="A1417" s="6"/>
      <c r="B1417" s="282"/>
      <c r="C1417" s="283"/>
      <c r="D1417" s="283"/>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row>
    <row r="1418" spans="1:51" ht="12.75" customHeight="1" x14ac:dyDescent="0.2">
      <c r="A1418" s="6"/>
      <c r="B1418" s="282"/>
      <c r="C1418" s="283"/>
      <c r="D1418" s="283"/>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row>
    <row r="1419" spans="1:51" ht="12.75" customHeight="1" x14ac:dyDescent="0.2">
      <c r="A1419" s="6"/>
      <c r="B1419" s="282"/>
      <c r="C1419" s="283"/>
      <c r="D1419" s="283"/>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row>
    <row r="1420" spans="1:51" ht="12.75" customHeight="1" x14ac:dyDescent="0.2">
      <c r="A1420" s="6"/>
      <c r="B1420" s="282"/>
      <c r="C1420" s="283"/>
      <c r="D1420" s="283"/>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row>
    <row r="1421" spans="1:51" ht="12.75" customHeight="1" x14ac:dyDescent="0.2">
      <c r="A1421" s="6"/>
      <c r="B1421" s="282"/>
      <c r="C1421" s="283"/>
      <c r="D1421" s="283"/>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6"/>
    </row>
    <row r="1422" spans="1:51" ht="12.75" customHeight="1" x14ac:dyDescent="0.2">
      <c r="A1422" s="6"/>
      <c r="B1422" s="282"/>
      <c r="C1422" s="283"/>
      <c r="D1422" s="283"/>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row>
    <row r="1423" spans="1:51" ht="12.75" customHeight="1" x14ac:dyDescent="0.2">
      <c r="A1423" s="6"/>
      <c r="B1423" s="282"/>
      <c r="C1423" s="283"/>
      <c r="D1423" s="283"/>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6"/>
    </row>
    <row r="1424" spans="1:51" ht="12.75" customHeight="1" x14ac:dyDescent="0.2">
      <c r="A1424" s="6"/>
      <c r="B1424" s="282"/>
      <c r="C1424" s="283"/>
      <c r="D1424" s="283"/>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6"/>
    </row>
    <row r="1425" spans="1:51" ht="12.75" customHeight="1" x14ac:dyDescent="0.2">
      <c r="A1425" s="6"/>
      <c r="B1425" s="282"/>
      <c r="C1425" s="283"/>
      <c r="D1425" s="283"/>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6"/>
    </row>
    <row r="1426" spans="1:51" ht="12.75" customHeight="1" x14ac:dyDescent="0.2">
      <c r="A1426" s="6"/>
      <c r="B1426" s="282"/>
      <c r="C1426" s="283"/>
      <c r="D1426" s="283"/>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6"/>
    </row>
    <row r="1427" spans="1:51" ht="12.75" customHeight="1" x14ac:dyDescent="0.2">
      <c r="A1427" s="6"/>
      <c r="B1427" s="282"/>
      <c r="C1427" s="283"/>
      <c r="D1427" s="283"/>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6"/>
    </row>
    <row r="1428" spans="1:51" ht="12.75" customHeight="1" x14ac:dyDescent="0.2">
      <c r="A1428" s="6"/>
      <c r="B1428" s="282"/>
      <c r="C1428" s="283"/>
      <c r="D1428" s="283"/>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6"/>
    </row>
    <row r="1429" spans="1:51" ht="12.75" customHeight="1" x14ac:dyDescent="0.2">
      <c r="A1429" s="6"/>
      <c r="B1429" s="282"/>
      <c r="C1429" s="283"/>
      <c r="D1429" s="283"/>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6"/>
    </row>
    <row r="1430" spans="1:51" ht="12.75" customHeight="1" x14ac:dyDescent="0.2">
      <c r="A1430" s="6"/>
      <c r="B1430" s="282"/>
      <c r="C1430" s="283"/>
      <c r="D1430" s="283"/>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row>
    <row r="1431" spans="1:51" ht="12.75" customHeight="1" x14ac:dyDescent="0.2">
      <c r="A1431" s="6"/>
      <c r="B1431" s="282"/>
      <c r="C1431" s="283"/>
      <c r="D1431" s="283"/>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6"/>
    </row>
    <row r="1432" spans="1:51" ht="12.75" customHeight="1" x14ac:dyDescent="0.2">
      <c r="A1432" s="6"/>
      <c r="B1432" s="282"/>
      <c r="C1432" s="283"/>
      <c r="D1432" s="283"/>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6"/>
    </row>
    <row r="1433" spans="1:51" ht="12.75" customHeight="1" x14ac:dyDescent="0.2">
      <c r="A1433" s="6"/>
      <c r="B1433" s="282"/>
      <c r="C1433" s="283"/>
      <c r="D1433" s="283"/>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6"/>
    </row>
    <row r="1434" spans="1:51" ht="12.75" customHeight="1" x14ac:dyDescent="0.2">
      <c r="A1434" s="6"/>
      <c r="B1434" s="282"/>
      <c r="C1434" s="283"/>
      <c r="D1434" s="283"/>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6"/>
    </row>
    <row r="1435" spans="1:51" ht="12.75" customHeight="1" x14ac:dyDescent="0.2">
      <c r="A1435" s="6"/>
      <c r="B1435" s="282"/>
      <c r="C1435" s="283"/>
      <c r="D1435" s="283"/>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6"/>
    </row>
    <row r="1436" spans="1:51" ht="12.75" customHeight="1" x14ac:dyDescent="0.2">
      <c r="A1436" s="6"/>
      <c r="B1436" s="282"/>
      <c r="C1436" s="283"/>
      <c r="D1436" s="283"/>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6"/>
    </row>
    <row r="1437" spans="1:51" ht="12.75" customHeight="1" x14ac:dyDescent="0.2">
      <c r="A1437" s="6"/>
      <c r="B1437" s="282"/>
      <c r="C1437" s="283"/>
      <c r="D1437" s="283"/>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6"/>
    </row>
    <row r="1438" spans="1:51" ht="12.75" customHeight="1" x14ac:dyDescent="0.2">
      <c r="A1438" s="6"/>
      <c r="B1438" s="282"/>
      <c r="C1438" s="283"/>
      <c r="D1438" s="283"/>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row>
    <row r="1439" spans="1:51" ht="12.75" customHeight="1" x14ac:dyDescent="0.2">
      <c r="A1439" s="6"/>
      <c r="B1439" s="282"/>
      <c r="C1439" s="283"/>
      <c r="D1439" s="283"/>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6"/>
    </row>
    <row r="1440" spans="1:51" ht="12.75" customHeight="1" x14ac:dyDescent="0.2">
      <c r="A1440" s="6"/>
      <c r="B1440" s="282"/>
      <c r="C1440" s="283"/>
      <c r="D1440" s="283"/>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6"/>
    </row>
    <row r="1441" spans="1:51" ht="12.75" customHeight="1" x14ac:dyDescent="0.2">
      <c r="A1441" s="6"/>
      <c r="B1441" s="282"/>
      <c r="C1441" s="283"/>
      <c r="D1441" s="283"/>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6"/>
    </row>
    <row r="1442" spans="1:51" ht="12.75" customHeight="1" x14ac:dyDescent="0.2">
      <c r="A1442" s="6"/>
      <c r="B1442" s="282"/>
      <c r="C1442" s="283"/>
      <c r="D1442" s="283"/>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6"/>
    </row>
    <row r="1443" spans="1:51" ht="12.75" customHeight="1" x14ac:dyDescent="0.2">
      <c r="A1443" s="6"/>
      <c r="B1443" s="282"/>
      <c r="C1443" s="283"/>
      <c r="D1443" s="283"/>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6"/>
    </row>
    <row r="1444" spans="1:51" ht="12.75" customHeight="1" x14ac:dyDescent="0.2">
      <c r="A1444" s="6"/>
      <c r="B1444" s="282"/>
      <c r="C1444" s="283"/>
      <c r="D1444" s="283"/>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c r="AX1444" s="6"/>
      <c r="AY1444" s="6"/>
    </row>
    <row r="1445" spans="1:51" ht="12.75" customHeight="1" x14ac:dyDescent="0.2">
      <c r="A1445" s="6"/>
      <c r="B1445" s="282"/>
      <c r="C1445" s="283"/>
      <c r="D1445" s="283"/>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c r="AX1445" s="6"/>
      <c r="AY1445" s="6"/>
    </row>
    <row r="1446" spans="1:51" ht="12.75" customHeight="1" x14ac:dyDescent="0.2">
      <c r="A1446" s="6"/>
      <c r="B1446" s="282"/>
      <c r="C1446" s="283"/>
      <c r="D1446" s="283"/>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6"/>
    </row>
    <row r="1447" spans="1:51" ht="12.75" customHeight="1" x14ac:dyDescent="0.2">
      <c r="A1447" s="6"/>
      <c r="B1447" s="282"/>
      <c r="C1447" s="283"/>
      <c r="D1447" s="283"/>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c r="AX1447" s="6"/>
      <c r="AY1447" s="6"/>
    </row>
    <row r="1448" spans="1:51" ht="12.75" customHeight="1" x14ac:dyDescent="0.2">
      <c r="A1448" s="6"/>
      <c r="B1448" s="282"/>
      <c r="C1448" s="283"/>
      <c r="D1448" s="283"/>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c r="AX1448" s="6"/>
      <c r="AY1448" s="6"/>
    </row>
    <row r="1449" spans="1:51" ht="12.75" customHeight="1" x14ac:dyDescent="0.2">
      <c r="A1449" s="6"/>
      <c r="B1449" s="282"/>
      <c r="C1449" s="283"/>
      <c r="D1449" s="283"/>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c r="AX1449" s="6"/>
      <c r="AY1449" s="6"/>
    </row>
    <row r="1450" spans="1:51" ht="12.75" customHeight="1" x14ac:dyDescent="0.2">
      <c r="A1450" s="6"/>
      <c r="B1450" s="282"/>
      <c r="C1450" s="283"/>
      <c r="D1450" s="283"/>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c r="AX1450" s="6"/>
      <c r="AY1450" s="6"/>
    </row>
    <row r="1451" spans="1:51" ht="12.75" customHeight="1" x14ac:dyDescent="0.2">
      <c r="A1451" s="6"/>
      <c r="B1451" s="282"/>
      <c r="C1451" s="283"/>
      <c r="D1451" s="283"/>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6"/>
    </row>
    <row r="1452" spans="1:51" ht="12.75" customHeight="1" x14ac:dyDescent="0.2">
      <c r="A1452" s="6"/>
      <c r="B1452" s="282"/>
      <c r="C1452" s="283"/>
      <c r="D1452" s="283"/>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c r="AX1452" s="6"/>
      <c r="AY1452" s="6"/>
    </row>
    <row r="1453" spans="1:51" ht="12.75" customHeight="1" x14ac:dyDescent="0.2">
      <c r="A1453" s="6"/>
      <c r="B1453" s="282"/>
      <c r="C1453" s="283"/>
      <c r="D1453" s="283"/>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c r="AX1453" s="6"/>
      <c r="AY1453" s="6"/>
    </row>
    <row r="1454" spans="1:51" ht="12.75" customHeight="1" x14ac:dyDescent="0.2">
      <c r="A1454" s="6"/>
      <c r="B1454" s="282"/>
      <c r="C1454" s="283"/>
      <c r="D1454" s="283"/>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6"/>
    </row>
    <row r="1455" spans="1:51" ht="12.75" customHeight="1" x14ac:dyDescent="0.2">
      <c r="A1455" s="6"/>
      <c r="B1455" s="282"/>
      <c r="C1455" s="283"/>
      <c r="D1455" s="283"/>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c r="AX1455" s="6"/>
      <c r="AY1455" s="6"/>
    </row>
    <row r="1456" spans="1:51" ht="12.75" customHeight="1" x14ac:dyDescent="0.2">
      <c r="A1456" s="6"/>
      <c r="B1456" s="282"/>
      <c r="C1456" s="283"/>
      <c r="D1456" s="283"/>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c r="AX1456" s="6"/>
      <c r="AY1456" s="6"/>
    </row>
    <row r="1457" spans="1:51" ht="12.75" customHeight="1" x14ac:dyDescent="0.2">
      <c r="A1457" s="6"/>
      <c r="B1457" s="282"/>
      <c r="C1457" s="283"/>
      <c r="D1457" s="283"/>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c r="AX1457" s="6"/>
      <c r="AY1457" s="6"/>
    </row>
    <row r="1458" spans="1:51" ht="12.75" customHeight="1" x14ac:dyDescent="0.2">
      <c r="A1458" s="6"/>
      <c r="B1458" s="282"/>
      <c r="C1458" s="283"/>
      <c r="D1458" s="283"/>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c r="AX1458" s="6"/>
      <c r="AY1458" s="6"/>
    </row>
    <row r="1459" spans="1:51" ht="12.75" customHeight="1" x14ac:dyDescent="0.2">
      <c r="A1459" s="6"/>
      <c r="B1459" s="282"/>
      <c r="C1459" s="283"/>
      <c r="D1459" s="283"/>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c r="AS1459" s="6"/>
      <c r="AT1459" s="6"/>
      <c r="AU1459" s="6"/>
      <c r="AV1459" s="6"/>
      <c r="AW1459" s="6"/>
      <c r="AX1459" s="6"/>
      <c r="AY1459" s="6"/>
    </row>
    <row r="1460" spans="1:51" ht="12.75" customHeight="1" x14ac:dyDescent="0.2">
      <c r="A1460" s="6"/>
      <c r="B1460" s="282"/>
      <c r="C1460" s="283"/>
      <c r="D1460" s="283"/>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c r="AX1460" s="6"/>
      <c r="AY1460" s="6"/>
    </row>
    <row r="1461" spans="1:51" ht="12.75" customHeight="1" x14ac:dyDescent="0.2">
      <c r="A1461" s="6"/>
      <c r="B1461" s="282"/>
      <c r="C1461" s="283"/>
      <c r="D1461" s="283"/>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c r="AX1461" s="6"/>
      <c r="AY1461" s="6"/>
    </row>
    <row r="1462" spans="1:51" ht="12.75" customHeight="1" x14ac:dyDescent="0.2">
      <c r="A1462" s="6"/>
      <c r="B1462" s="282"/>
      <c r="C1462" s="283"/>
      <c r="D1462" s="283"/>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6"/>
    </row>
    <row r="1463" spans="1:51" ht="12.75" customHeight="1" x14ac:dyDescent="0.2">
      <c r="A1463" s="6"/>
      <c r="B1463" s="282"/>
      <c r="C1463" s="283"/>
      <c r="D1463" s="283"/>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c r="AX1463" s="6"/>
      <c r="AY1463" s="6"/>
    </row>
    <row r="1464" spans="1:51" ht="12.75" customHeight="1" x14ac:dyDescent="0.2">
      <c r="A1464" s="6"/>
      <c r="B1464" s="282"/>
      <c r="C1464" s="283"/>
      <c r="D1464" s="283"/>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c r="AX1464" s="6"/>
      <c r="AY1464" s="6"/>
    </row>
    <row r="1465" spans="1:51" ht="12.75" customHeight="1" x14ac:dyDescent="0.2">
      <c r="A1465" s="6"/>
      <c r="B1465" s="282"/>
      <c r="C1465" s="283"/>
      <c r="D1465" s="283"/>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c r="AX1465" s="6"/>
      <c r="AY1465" s="6"/>
    </row>
    <row r="1466" spans="1:51" ht="12.75" customHeight="1" x14ac:dyDescent="0.2">
      <c r="A1466" s="6"/>
      <c r="B1466" s="282"/>
      <c r="C1466" s="283"/>
      <c r="D1466" s="283"/>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c r="AX1466" s="6"/>
      <c r="AY1466" s="6"/>
    </row>
    <row r="1467" spans="1:51" ht="12.75" customHeight="1" x14ac:dyDescent="0.2">
      <c r="A1467" s="6"/>
      <c r="B1467" s="282"/>
      <c r="C1467" s="283"/>
      <c r="D1467" s="283"/>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c r="AX1467" s="6"/>
      <c r="AY1467" s="6"/>
    </row>
    <row r="1468" spans="1:51" ht="12.75" customHeight="1" x14ac:dyDescent="0.2">
      <c r="A1468" s="6"/>
      <c r="B1468" s="282"/>
      <c r="C1468" s="283"/>
      <c r="D1468" s="283"/>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c r="AX1468" s="6"/>
      <c r="AY1468" s="6"/>
    </row>
    <row r="1469" spans="1:51" ht="12.75" customHeight="1" x14ac:dyDescent="0.2">
      <c r="A1469" s="6"/>
      <c r="B1469" s="282"/>
      <c r="C1469" s="283"/>
      <c r="D1469" s="283"/>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c r="AX1469" s="6"/>
      <c r="AY1469" s="6"/>
    </row>
    <row r="1470" spans="1:51" ht="12.75" customHeight="1" x14ac:dyDescent="0.2">
      <c r="A1470" s="6"/>
      <c r="B1470" s="282"/>
      <c r="C1470" s="283"/>
      <c r="D1470" s="283"/>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6"/>
    </row>
    <row r="1471" spans="1:51" ht="12.75" customHeight="1" x14ac:dyDescent="0.2">
      <c r="A1471" s="6"/>
      <c r="B1471" s="282"/>
      <c r="C1471" s="283"/>
      <c r="D1471" s="283"/>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c r="AX1471" s="6"/>
      <c r="AY1471" s="6"/>
    </row>
    <row r="1472" spans="1:51" ht="12.75" customHeight="1" x14ac:dyDescent="0.2">
      <c r="A1472" s="6"/>
      <c r="B1472" s="282"/>
      <c r="C1472" s="283"/>
      <c r="D1472" s="283"/>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c r="AX1472" s="6"/>
      <c r="AY1472" s="6"/>
    </row>
    <row r="1473" spans="1:51" ht="12.75" customHeight="1" x14ac:dyDescent="0.2">
      <c r="A1473" s="6"/>
      <c r="B1473" s="282"/>
      <c r="C1473" s="283"/>
      <c r="D1473" s="283"/>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c r="AX1473" s="6"/>
      <c r="AY1473" s="6"/>
    </row>
    <row r="1474" spans="1:51" ht="12.75" customHeight="1" x14ac:dyDescent="0.2">
      <c r="A1474" s="6"/>
      <c r="B1474" s="282"/>
      <c r="C1474" s="283"/>
      <c r="D1474" s="283"/>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c r="AX1474" s="6"/>
      <c r="AY1474" s="6"/>
    </row>
    <row r="1475" spans="1:51" ht="12.75" customHeight="1" x14ac:dyDescent="0.2">
      <c r="A1475" s="6"/>
      <c r="B1475" s="282"/>
      <c r="C1475" s="283"/>
      <c r="D1475" s="283"/>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c r="AX1475" s="6"/>
      <c r="AY1475" s="6"/>
    </row>
    <row r="1476" spans="1:51" ht="12.75" customHeight="1" x14ac:dyDescent="0.2">
      <c r="A1476" s="6"/>
      <c r="B1476" s="282"/>
      <c r="C1476" s="283"/>
      <c r="D1476" s="283"/>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c r="AX1476" s="6"/>
      <c r="AY1476" s="6"/>
    </row>
    <row r="1477" spans="1:51" ht="12.75" customHeight="1" x14ac:dyDescent="0.2">
      <c r="A1477" s="6"/>
      <c r="B1477" s="282"/>
      <c r="C1477" s="283"/>
      <c r="D1477" s="283"/>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c r="AX1477" s="6"/>
      <c r="AY1477" s="6"/>
    </row>
    <row r="1478" spans="1:51" ht="12.75" customHeight="1" x14ac:dyDescent="0.2">
      <c r="A1478" s="6"/>
      <c r="B1478" s="282"/>
      <c r="C1478" s="283"/>
      <c r="D1478" s="283"/>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6"/>
    </row>
    <row r="1479" spans="1:51" ht="12.75" customHeight="1" x14ac:dyDescent="0.2">
      <c r="A1479" s="6"/>
      <c r="B1479" s="282"/>
      <c r="C1479" s="283"/>
      <c r="D1479" s="283"/>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c r="AX1479" s="6"/>
      <c r="AY1479" s="6"/>
    </row>
    <row r="1480" spans="1:51" ht="12.75" customHeight="1" x14ac:dyDescent="0.2">
      <c r="A1480" s="6"/>
      <c r="B1480" s="282"/>
      <c r="C1480" s="283"/>
      <c r="D1480" s="283"/>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c r="AX1480" s="6"/>
      <c r="AY1480" s="6"/>
    </row>
    <row r="1481" spans="1:51" ht="12.75" customHeight="1" x14ac:dyDescent="0.2">
      <c r="A1481" s="6"/>
      <c r="B1481" s="282"/>
      <c r="C1481" s="283"/>
      <c r="D1481" s="283"/>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c r="AX1481" s="6"/>
      <c r="AY1481" s="6"/>
    </row>
    <row r="1482" spans="1:51" ht="12.75" customHeight="1" x14ac:dyDescent="0.2">
      <c r="A1482" s="6"/>
      <c r="B1482" s="282"/>
      <c r="C1482" s="283"/>
      <c r="D1482" s="283"/>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c r="AX1482" s="6"/>
      <c r="AY1482" s="6"/>
    </row>
    <row r="1483" spans="1:51" ht="12.75" customHeight="1" x14ac:dyDescent="0.2">
      <c r="A1483" s="6"/>
      <c r="B1483" s="282"/>
      <c r="C1483" s="283"/>
      <c r="D1483" s="283"/>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c r="AX1483" s="6"/>
      <c r="AY1483" s="6"/>
    </row>
    <row r="1484" spans="1:51" ht="12.75" customHeight="1" x14ac:dyDescent="0.2">
      <c r="A1484" s="6"/>
      <c r="B1484" s="282"/>
      <c r="C1484" s="283"/>
      <c r="D1484" s="283"/>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c r="AX1484" s="6"/>
      <c r="AY1484" s="6"/>
    </row>
    <row r="1485" spans="1:51" ht="12.75" customHeight="1" x14ac:dyDescent="0.2">
      <c r="A1485" s="6"/>
      <c r="B1485" s="282"/>
      <c r="C1485" s="283"/>
      <c r="D1485" s="283"/>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c r="AX1485" s="6"/>
      <c r="AY1485" s="6"/>
    </row>
    <row r="1486" spans="1:51" ht="12.75" customHeight="1" x14ac:dyDescent="0.2">
      <c r="A1486" s="6"/>
      <c r="B1486" s="282"/>
      <c r="C1486" s="283"/>
      <c r="D1486" s="283"/>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6"/>
    </row>
    <row r="1487" spans="1:51" ht="12.75" customHeight="1" x14ac:dyDescent="0.2">
      <c r="A1487" s="6"/>
      <c r="B1487" s="282"/>
      <c r="C1487" s="283"/>
      <c r="D1487" s="283"/>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c r="AX1487" s="6"/>
      <c r="AY1487" s="6"/>
    </row>
    <row r="1488" spans="1:51" ht="12.75" customHeight="1" x14ac:dyDescent="0.2">
      <c r="A1488" s="6"/>
      <c r="B1488" s="282"/>
      <c r="C1488" s="283"/>
      <c r="D1488" s="283"/>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c r="AX1488" s="6"/>
      <c r="AY1488" s="6"/>
    </row>
    <row r="1489" spans="1:51" ht="12.75" customHeight="1" x14ac:dyDescent="0.2">
      <c r="A1489" s="6"/>
      <c r="B1489" s="282"/>
      <c r="C1489" s="283"/>
      <c r="D1489" s="283"/>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c r="AX1489" s="6"/>
      <c r="AY1489" s="6"/>
    </row>
    <row r="1490" spans="1:51" ht="12.75" customHeight="1" x14ac:dyDescent="0.2">
      <c r="A1490" s="6"/>
      <c r="B1490" s="282"/>
      <c r="C1490" s="283"/>
      <c r="D1490" s="283"/>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c r="AS1490" s="6"/>
      <c r="AT1490" s="6"/>
      <c r="AU1490" s="6"/>
      <c r="AV1490" s="6"/>
      <c r="AW1490" s="6"/>
      <c r="AX1490" s="6"/>
      <c r="AY1490" s="6"/>
    </row>
    <row r="1491" spans="1:51" ht="12.75" customHeight="1" x14ac:dyDescent="0.2">
      <c r="A1491" s="6"/>
      <c r="B1491" s="282"/>
      <c r="C1491" s="283"/>
      <c r="D1491" s="283"/>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c r="AS1491" s="6"/>
      <c r="AT1491" s="6"/>
      <c r="AU1491" s="6"/>
      <c r="AV1491" s="6"/>
      <c r="AW1491" s="6"/>
      <c r="AX1491" s="6"/>
      <c r="AY1491" s="6"/>
    </row>
    <row r="1492" spans="1:51" ht="12.75" customHeight="1" x14ac:dyDescent="0.2">
      <c r="A1492" s="6"/>
      <c r="B1492" s="282"/>
      <c r="C1492" s="283"/>
      <c r="D1492" s="283"/>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c r="AS1492" s="6"/>
      <c r="AT1492" s="6"/>
      <c r="AU1492" s="6"/>
      <c r="AV1492" s="6"/>
      <c r="AW1492" s="6"/>
      <c r="AX1492" s="6"/>
      <c r="AY1492" s="6"/>
    </row>
    <row r="1493" spans="1:51" ht="12.75" customHeight="1" x14ac:dyDescent="0.2">
      <c r="A1493" s="6"/>
      <c r="B1493" s="282"/>
      <c r="C1493" s="283"/>
      <c r="D1493" s="283"/>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c r="AS1493" s="6"/>
      <c r="AT1493" s="6"/>
      <c r="AU1493" s="6"/>
      <c r="AV1493" s="6"/>
      <c r="AW1493" s="6"/>
      <c r="AX1493" s="6"/>
      <c r="AY1493" s="6"/>
    </row>
    <row r="1494" spans="1:51" ht="12.75" customHeight="1" x14ac:dyDescent="0.2">
      <c r="A1494" s="6"/>
      <c r="B1494" s="282"/>
      <c r="C1494" s="283"/>
      <c r="D1494" s="283"/>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c r="AX1494" s="6"/>
      <c r="AY1494" s="6"/>
    </row>
    <row r="1495" spans="1:51" ht="12.75" customHeight="1" x14ac:dyDescent="0.2">
      <c r="A1495" s="6"/>
      <c r="B1495" s="282"/>
      <c r="C1495" s="283"/>
      <c r="D1495" s="283"/>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c r="AS1495" s="6"/>
      <c r="AT1495" s="6"/>
      <c r="AU1495" s="6"/>
      <c r="AV1495" s="6"/>
      <c r="AW1495" s="6"/>
      <c r="AX1495" s="6"/>
      <c r="AY1495" s="6"/>
    </row>
    <row r="1496" spans="1:51" ht="12.75" customHeight="1" x14ac:dyDescent="0.2">
      <c r="A1496" s="6"/>
      <c r="B1496" s="282"/>
      <c r="C1496" s="283"/>
      <c r="D1496" s="283"/>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c r="AS1496" s="6"/>
      <c r="AT1496" s="6"/>
      <c r="AU1496" s="6"/>
      <c r="AV1496" s="6"/>
      <c r="AW1496" s="6"/>
      <c r="AX1496" s="6"/>
      <c r="AY1496" s="6"/>
    </row>
    <row r="1497" spans="1:51" ht="12.75" customHeight="1" x14ac:dyDescent="0.2">
      <c r="A1497" s="6"/>
      <c r="B1497" s="282"/>
      <c r="C1497" s="283"/>
      <c r="D1497" s="283"/>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c r="AS1497" s="6"/>
      <c r="AT1497" s="6"/>
      <c r="AU1497" s="6"/>
      <c r="AV1497" s="6"/>
      <c r="AW1497" s="6"/>
      <c r="AX1497" s="6"/>
      <c r="AY1497" s="6"/>
    </row>
    <row r="1498" spans="1:51" ht="12.75" customHeight="1" x14ac:dyDescent="0.2">
      <c r="A1498" s="6"/>
      <c r="B1498" s="282"/>
      <c r="C1498" s="283"/>
      <c r="D1498" s="283"/>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c r="AS1498" s="6"/>
      <c r="AT1498" s="6"/>
      <c r="AU1498" s="6"/>
      <c r="AV1498" s="6"/>
      <c r="AW1498" s="6"/>
      <c r="AX1498" s="6"/>
      <c r="AY1498" s="6"/>
    </row>
    <row r="1499" spans="1:51" ht="12.75" customHeight="1" x14ac:dyDescent="0.2">
      <c r="A1499" s="6"/>
      <c r="B1499" s="282"/>
      <c r="C1499" s="283"/>
      <c r="D1499" s="283"/>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c r="AS1499" s="6"/>
      <c r="AT1499" s="6"/>
      <c r="AU1499" s="6"/>
      <c r="AV1499" s="6"/>
      <c r="AW1499" s="6"/>
      <c r="AX1499" s="6"/>
      <c r="AY1499" s="6"/>
    </row>
    <row r="1500" spans="1:51" ht="12.75" customHeight="1" x14ac:dyDescent="0.2">
      <c r="A1500" s="6"/>
      <c r="B1500" s="282"/>
      <c r="C1500" s="283"/>
      <c r="D1500" s="283"/>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c r="AS1500" s="6"/>
      <c r="AT1500" s="6"/>
      <c r="AU1500" s="6"/>
      <c r="AV1500" s="6"/>
      <c r="AW1500" s="6"/>
      <c r="AX1500" s="6"/>
      <c r="AY1500" s="6"/>
    </row>
    <row r="1501" spans="1:51" ht="12.75" customHeight="1" x14ac:dyDescent="0.2">
      <c r="A1501" s="6"/>
      <c r="B1501" s="282"/>
      <c r="C1501" s="283"/>
      <c r="D1501" s="283"/>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c r="AS1501" s="6"/>
      <c r="AT1501" s="6"/>
      <c r="AU1501" s="6"/>
      <c r="AV1501" s="6"/>
      <c r="AW1501" s="6"/>
      <c r="AX1501" s="6"/>
      <c r="AY1501" s="6"/>
    </row>
    <row r="1502" spans="1:51" ht="12.75" customHeight="1" x14ac:dyDescent="0.2">
      <c r="A1502" s="6"/>
      <c r="B1502" s="282"/>
      <c r="C1502" s="283"/>
      <c r="D1502" s="283"/>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c r="AX1502" s="6"/>
      <c r="AY1502" s="6"/>
    </row>
    <row r="1503" spans="1:51" ht="12.75" customHeight="1" x14ac:dyDescent="0.2">
      <c r="A1503" s="6"/>
      <c r="B1503" s="282"/>
      <c r="C1503" s="283"/>
      <c r="D1503" s="283"/>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c r="AS1503" s="6"/>
      <c r="AT1503" s="6"/>
      <c r="AU1503" s="6"/>
      <c r="AV1503" s="6"/>
      <c r="AW1503" s="6"/>
      <c r="AX1503" s="6"/>
      <c r="AY1503" s="6"/>
    </row>
    <row r="1504" spans="1:51" ht="12.75" customHeight="1" x14ac:dyDescent="0.2">
      <c r="A1504" s="6"/>
      <c r="B1504" s="282"/>
      <c r="C1504" s="283"/>
      <c r="D1504" s="283"/>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c r="AS1504" s="6"/>
      <c r="AT1504" s="6"/>
      <c r="AU1504" s="6"/>
      <c r="AV1504" s="6"/>
      <c r="AW1504" s="6"/>
      <c r="AX1504" s="6"/>
      <c r="AY1504" s="6"/>
    </row>
    <row r="1505" spans="1:51" ht="12.75" customHeight="1" x14ac:dyDescent="0.2">
      <c r="A1505" s="6"/>
      <c r="B1505" s="282"/>
      <c r="C1505" s="283"/>
      <c r="D1505" s="283"/>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c r="AS1505" s="6"/>
      <c r="AT1505" s="6"/>
      <c r="AU1505" s="6"/>
      <c r="AV1505" s="6"/>
      <c r="AW1505" s="6"/>
      <c r="AX1505" s="6"/>
      <c r="AY1505" s="6"/>
    </row>
    <row r="1506" spans="1:51" ht="12.75" customHeight="1" x14ac:dyDescent="0.2">
      <c r="A1506" s="6"/>
      <c r="B1506" s="282"/>
      <c r="C1506" s="283"/>
      <c r="D1506" s="283"/>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c r="AS1506" s="6"/>
      <c r="AT1506" s="6"/>
      <c r="AU1506" s="6"/>
      <c r="AV1506" s="6"/>
      <c r="AW1506" s="6"/>
      <c r="AX1506" s="6"/>
      <c r="AY1506" s="6"/>
    </row>
    <row r="1507" spans="1:51" ht="12.75" customHeight="1" x14ac:dyDescent="0.2">
      <c r="A1507" s="6"/>
      <c r="B1507" s="282"/>
      <c r="C1507" s="283"/>
      <c r="D1507" s="283"/>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c r="AS1507" s="6"/>
      <c r="AT1507" s="6"/>
      <c r="AU1507" s="6"/>
      <c r="AV1507" s="6"/>
      <c r="AW1507" s="6"/>
      <c r="AX1507" s="6"/>
      <c r="AY1507" s="6"/>
    </row>
    <row r="1508" spans="1:51" ht="12.75" customHeight="1" x14ac:dyDescent="0.2">
      <c r="A1508" s="6"/>
      <c r="B1508" s="282"/>
      <c r="C1508" s="283"/>
      <c r="D1508" s="283"/>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c r="AS1508" s="6"/>
      <c r="AT1508" s="6"/>
      <c r="AU1508" s="6"/>
      <c r="AV1508" s="6"/>
      <c r="AW1508" s="6"/>
      <c r="AX1508" s="6"/>
      <c r="AY1508" s="6"/>
    </row>
    <row r="1509" spans="1:51" ht="12.75" customHeight="1" x14ac:dyDescent="0.2">
      <c r="A1509" s="6"/>
      <c r="B1509" s="282"/>
      <c r="C1509" s="283"/>
      <c r="D1509" s="283"/>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c r="AS1509" s="6"/>
      <c r="AT1509" s="6"/>
      <c r="AU1509" s="6"/>
      <c r="AV1509" s="6"/>
      <c r="AW1509" s="6"/>
      <c r="AX1509" s="6"/>
      <c r="AY1509" s="6"/>
    </row>
    <row r="1510" spans="1:51" ht="12.75" customHeight="1" x14ac:dyDescent="0.2">
      <c r="A1510" s="6"/>
      <c r="B1510" s="282"/>
      <c r="C1510" s="283"/>
      <c r="D1510" s="283"/>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c r="AX1510" s="6"/>
      <c r="AY1510" s="6"/>
    </row>
    <row r="1511" spans="1:51" ht="12.75" customHeight="1" x14ac:dyDescent="0.2">
      <c r="A1511" s="6"/>
      <c r="B1511" s="282"/>
      <c r="C1511" s="283"/>
      <c r="D1511" s="283"/>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c r="AS1511" s="6"/>
      <c r="AT1511" s="6"/>
      <c r="AU1511" s="6"/>
      <c r="AV1511" s="6"/>
      <c r="AW1511" s="6"/>
      <c r="AX1511" s="6"/>
      <c r="AY1511" s="6"/>
    </row>
    <row r="1512" spans="1:51" ht="12.75" customHeight="1" x14ac:dyDescent="0.2">
      <c r="A1512" s="6"/>
      <c r="B1512" s="282"/>
      <c r="C1512" s="283"/>
      <c r="D1512" s="283"/>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c r="AS1512" s="6"/>
      <c r="AT1512" s="6"/>
      <c r="AU1512" s="6"/>
      <c r="AV1512" s="6"/>
      <c r="AW1512" s="6"/>
      <c r="AX1512" s="6"/>
      <c r="AY1512" s="6"/>
    </row>
    <row r="1513" spans="1:51" ht="12.75" customHeight="1" x14ac:dyDescent="0.2">
      <c r="A1513" s="6"/>
      <c r="B1513" s="282"/>
      <c r="C1513" s="283"/>
      <c r="D1513" s="283"/>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c r="AS1513" s="6"/>
      <c r="AT1513" s="6"/>
      <c r="AU1513" s="6"/>
      <c r="AV1513" s="6"/>
      <c r="AW1513" s="6"/>
      <c r="AX1513" s="6"/>
      <c r="AY1513" s="6"/>
    </row>
    <row r="1514" spans="1:51" ht="12.75" customHeight="1" x14ac:dyDescent="0.2">
      <c r="A1514" s="6"/>
      <c r="B1514" s="282"/>
      <c r="C1514" s="283"/>
      <c r="D1514" s="283"/>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c r="AS1514" s="6"/>
      <c r="AT1514" s="6"/>
      <c r="AU1514" s="6"/>
      <c r="AV1514" s="6"/>
      <c r="AW1514" s="6"/>
      <c r="AX1514" s="6"/>
      <c r="AY1514" s="6"/>
    </row>
    <row r="1515" spans="1:51" ht="12.75" customHeight="1" x14ac:dyDescent="0.2">
      <c r="A1515" s="6"/>
      <c r="B1515" s="282"/>
      <c r="C1515" s="283"/>
      <c r="D1515" s="283"/>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c r="AS1515" s="6"/>
      <c r="AT1515" s="6"/>
      <c r="AU1515" s="6"/>
      <c r="AV1515" s="6"/>
      <c r="AW1515" s="6"/>
      <c r="AX1515" s="6"/>
      <c r="AY1515" s="6"/>
    </row>
    <row r="1516" spans="1:51" ht="12.75" customHeight="1" x14ac:dyDescent="0.2"/>
  </sheetData>
  <mergeCells count="10">
    <mergeCell ref="B412:B413"/>
    <mergeCell ref="B414:B415"/>
    <mergeCell ref="A565:A571"/>
    <mergeCell ref="A572:A577"/>
    <mergeCell ref="A102:A109"/>
    <mergeCell ref="A110:A116"/>
    <mergeCell ref="B404:B405"/>
    <mergeCell ref="B406:B407"/>
    <mergeCell ref="B408:B409"/>
    <mergeCell ref="B410:B411"/>
  </mergeCells>
  <pageMargins left="0.7" right="0.7" top="0.75" bottom="0.75" header="0.3" footer="0.3"/>
  <pageSetup paperSize="9" scale="51"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B11B8-54C4-4AA3-B42A-BA6F1272DB13}">
  <sheetPr>
    <tabColor theme="0"/>
  </sheetPr>
  <dimension ref="A1:AC77"/>
  <sheetViews>
    <sheetView tabSelected="1" zoomScale="70" zoomScaleNormal="70" workbookViewId="0">
      <selection activeCell="F11" sqref="F11"/>
    </sheetView>
  </sheetViews>
  <sheetFormatPr defaultRowHeight="12.75" x14ac:dyDescent="0.2"/>
  <cols>
    <col min="1" max="1" width="49.140625" style="1" customWidth="1"/>
    <col min="2" max="2" width="16.140625" style="1" customWidth="1"/>
    <col min="3" max="3" width="16.7109375" style="1" customWidth="1"/>
    <col min="4" max="4" width="15.7109375" style="1" customWidth="1"/>
    <col min="5" max="5" width="17.28515625" style="1" bestFit="1" customWidth="1"/>
    <col min="6" max="6" width="17.5703125" style="1" customWidth="1"/>
    <col min="7" max="7" width="83" style="1" bestFit="1" customWidth="1"/>
    <col min="8" max="8" width="11.5703125" style="1" customWidth="1"/>
    <col min="9" max="9" width="6.85546875" style="1" customWidth="1"/>
    <col min="10" max="10" width="11.5703125" style="1" customWidth="1"/>
    <col min="11" max="11" width="9.140625" style="1"/>
    <col min="12" max="12" width="23" style="1" customWidth="1"/>
    <col min="13" max="13" width="17.85546875" style="1" customWidth="1"/>
    <col min="14" max="14" width="11.85546875" style="1" customWidth="1"/>
    <col min="15" max="22" width="9.140625" style="1"/>
    <col min="23" max="23" width="34.28515625" style="1" bestFit="1" customWidth="1"/>
    <col min="24" max="16384" width="9.140625" style="1"/>
  </cols>
  <sheetData>
    <row r="1" spans="1:23" s="302" customFormat="1" ht="27" customHeight="1" x14ac:dyDescent="0.35">
      <c r="A1" s="301" t="s">
        <v>272</v>
      </c>
    </row>
    <row r="2" spans="1:23" ht="15.75" x14ac:dyDescent="0.3">
      <c r="A2" s="86" t="s">
        <v>316</v>
      </c>
      <c r="H2" s="426" t="str">
        <f>'2018'!A1</f>
        <v>Antal indbyggere:</v>
      </c>
      <c r="I2" s="427"/>
      <c r="J2" s="427"/>
      <c r="M2" s="223"/>
    </row>
    <row r="3" spans="1:23" x14ac:dyDescent="0.2">
      <c r="B3" s="233">
        <v>1990</v>
      </c>
      <c r="C3" s="233">
        <v>2018</v>
      </c>
      <c r="D3" s="233" t="s">
        <v>246</v>
      </c>
      <c r="E3" s="233" t="s">
        <v>247</v>
      </c>
      <c r="G3" s="224"/>
      <c r="H3" s="428">
        <f>'2018'!D1</f>
        <v>1807</v>
      </c>
      <c r="I3" s="428"/>
      <c r="J3" s="428"/>
      <c r="M3" s="223"/>
    </row>
    <row r="4" spans="1:23" x14ac:dyDescent="0.2">
      <c r="A4" s="234" t="s">
        <v>248</v>
      </c>
      <c r="B4" s="235">
        <v>6.1208741813746057</v>
      </c>
      <c r="C4" s="235">
        <v>4.2073434395136182</v>
      </c>
      <c r="D4" s="235">
        <f>C4+(K14/1000)</f>
        <v>4.2073434395136182</v>
      </c>
      <c r="E4" s="235">
        <f>D4</f>
        <v>4.2073434395136182</v>
      </c>
      <c r="H4" s="63"/>
      <c r="J4" s="86"/>
      <c r="M4" s="223"/>
      <c r="N4" s="225"/>
      <c r="S4" s="86"/>
    </row>
    <row r="5" spans="1:23" ht="15" x14ac:dyDescent="0.25">
      <c r="A5" s="234" t="s">
        <v>249</v>
      </c>
      <c r="B5" s="235">
        <v>6.1612086008937466</v>
      </c>
      <c r="C5" s="235">
        <v>6.0239108015585296</v>
      </c>
      <c r="D5" s="235">
        <f>C5+K29</f>
        <v>5.4195032550127724</v>
      </c>
      <c r="E5" s="235">
        <f>C5+K29</f>
        <v>5.4195032550127724</v>
      </c>
      <c r="F5" s="86"/>
      <c r="G5" s="387" t="s">
        <v>321</v>
      </c>
      <c r="H5" s="388"/>
    </row>
    <row r="6" spans="1:23" x14ac:dyDescent="0.2">
      <c r="A6" s="234" t="s">
        <v>251</v>
      </c>
      <c r="B6" s="235">
        <v>0.26912552338450213</v>
      </c>
      <c r="C6" s="235">
        <v>0.2460035113239212</v>
      </c>
      <c r="D6" s="235">
        <f>C6</f>
        <v>0.2460035113239212</v>
      </c>
      <c r="E6" s="235">
        <f>C6</f>
        <v>0.2460035113239212</v>
      </c>
      <c r="G6" s="1" t="s">
        <v>322</v>
      </c>
      <c r="H6" s="388">
        <v>0</v>
      </c>
      <c r="J6" s="388">
        <f>H6</f>
        <v>0</v>
      </c>
    </row>
    <row r="7" spans="1:23" x14ac:dyDescent="0.2">
      <c r="A7" s="234" t="s">
        <v>250</v>
      </c>
      <c r="B7" s="235">
        <v>5.84582608168036</v>
      </c>
      <c r="C7" s="235">
        <v>5.979204924915253</v>
      </c>
      <c r="D7" s="235">
        <f>C7+H15</f>
        <v>5.979204924915253</v>
      </c>
      <c r="E7" s="235">
        <f>C7+H16</f>
        <v>5.979204924915253</v>
      </c>
      <c r="G7" s="1" t="s">
        <v>323</v>
      </c>
      <c r="H7" s="388">
        <v>0</v>
      </c>
      <c r="J7" s="388">
        <f>H7</f>
        <v>0</v>
      </c>
      <c r="T7" s="86"/>
      <c r="V7" s="86"/>
    </row>
    <row r="8" spans="1:23" x14ac:dyDescent="0.2">
      <c r="A8" s="234" t="s">
        <v>252</v>
      </c>
      <c r="B8" s="235">
        <v>0.55590828097913103</v>
      </c>
      <c r="C8" s="235">
        <v>0.36066197085521962</v>
      </c>
      <c r="D8" s="235">
        <f>C8+H21</f>
        <v>0.31651795702513164</v>
      </c>
      <c r="E8" s="235">
        <f>C8+H22</f>
        <v>0.24588753489699061</v>
      </c>
      <c r="G8" s="1" t="s">
        <v>324</v>
      </c>
      <c r="H8" s="388">
        <f>H6-H7</f>
        <v>0</v>
      </c>
      <c r="J8" s="388">
        <f>J6-J7</f>
        <v>0</v>
      </c>
    </row>
    <row r="9" spans="1:23" x14ac:dyDescent="0.2">
      <c r="A9" s="236" t="s">
        <v>147</v>
      </c>
      <c r="B9" s="237">
        <f>SUM(B4:B8)</f>
        <v>18.952942668312346</v>
      </c>
      <c r="C9" s="238">
        <f>SUM(C4:C8)</f>
        <v>16.817124648166541</v>
      </c>
      <c r="D9" s="238">
        <f>SUM(D4:D8)</f>
        <v>16.168573087790698</v>
      </c>
      <c r="E9" s="238">
        <f>SUM(E4:E8)</f>
        <v>16.097942665662558</v>
      </c>
      <c r="G9" s="1" t="s">
        <v>325</v>
      </c>
      <c r="H9" s="389">
        <f>H8*8%</f>
        <v>0</v>
      </c>
      <c r="I9" s="1" t="s">
        <v>326</v>
      </c>
      <c r="J9" s="389">
        <f>J8*12%</f>
        <v>0</v>
      </c>
      <c r="S9" s="86"/>
      <c r="W9" s="120"/>
    </row>
    <row r="10" spans="1:23" x14ac:dyDescent="0.2">
      <c r="A10" s="239" t="s">
        <v>253</v>
      </c>
      <c r="B10" s="240"/>
      <c r="F10" s="63"/>
    </row>
    <row r="11" spans="1:23" x14ac:dyDescent="0.2">
      <c r="A11" s="240"/>
      <c r="B11" s="240"/>
      <c r="F11" s="63"/>
      <c r="G11" s="86" t="s">
        <v>335</v>
      </c>
      <c r="H11" s="388"/>
    </row>
    <row r="12" spans="1:23" x14ac:dyDescent="0.2">
      <c r="A12" s="240"/>
      <c r="B12" s="240"/>
      <c r="F12" s="63"/>
      <c r="G12" s="62">
        <v>-32.14394733080136</v>
      </c>
      <c r="H12" s="388"/>
    </row>
    <row r="13" spans="1:23" x14ac:dyDescent="0.2">
      <c r="A13" s="240"/>
      <c r="B13" s="240"/>
      <c r="F13" s="63"/>
      <c r="H13" s="388"/>
    </row>
    <row r="14" spans="1:23" x14ac:dyDescent="0.2">
      <c r="A14" s="240"/>
      <c r="B14" s="240"/>
      <c r="F14" s="63"/>
      <c r="G14" s="86" t="s">
        <v>327</v>
      </c>
      <c r="H14" s="388"/>
    </row>
    <row r="15" spans="1:23" ht="16.5" thickBot="1" x14ac:dyDescent="0.35">
      <c r="A15" s="240"/>
      <c r="B15" s="240"/>
      <c r="F15" s="63"/>
      <c r="G15" s="1">
        <v>2030</v>
      </c>
      <c r="H15" s="390">
        <f>H9*G12/1000</f>
        <v>0</v>
      </c>
      <c r="I15" s="86" t="s">
        <v>317</v>
      </c>
    </row>
    <row r="16" spans="1:23" ht="17.25" thickTop="1" thickBot="1" x14ac:dyDescent="0.35">
      <c r="A16" s="240"/>
      <c r="B16" s="240"/>
      <c r="F16" s="63"/>
      <c r="G16" s="1">
        <v>2050</v>
      </c>
      <c r="H16" s="390">
        <f>J9*G12/1000</f>
        <v>0</v>
      </c>
      <c r="I16" s="86" t="s">
        <v>317</v>
      </c>
    </row>
    <row r="17" spans="1:14" ht="13.5" thickTop="1" x14ac:dyDescent="0.2">
      <c r="A17" s="240"/>
      <c r="B17" s="240"/>
      <c r="F17" s="63"/>
    </row>
    <row r="18" spans="1:14" x14ac:dyDescent="0.2">
      <c r="A18" s="240"/>
      <c r="B18" s="240"/>
      <c r="F18" s="63"/>
    </row>
    <row r="19" spans="1:14" x14ac:dyDescent="0.2">
      <c r="A19" s="240"/>
      <c r="B19" s="240"/>
      <c r="F19" s="63"/>
    </row>
    <row r="20" spans="1:14" x14ac:dyDescent="0.2">
      <c r="A20" s="240"/>
      <c r="B20" s="240"/>
      <c r="F20" s="63"/>
      <c r="G20" s="391" t="s">
        <v>328</v>
      </c>
      <c r="N20" s="86"/>
    </row>
    <row r="21" spans="1:14" ht="16.5" thickBot="1" x14ac:dyDescent="0.35">
      <c r="A21" s="240"/>
      <c r="B21" s="240"/>
      <c r="F21" s="63"/>
      <c r="G21" s="1">
        <v>2030</v>
      </c>
      <c r="H21" s="392">
        <v>-4.4144013830088001E-2</v>
      </c>
      <c r="I21" s="86" t="s">
        <v>317</v>
      </c>
      <c r="N21" s="120"/>
    </row>
    <row r="22" spans="1:14" ht="17.25" thickTop="1" thickBot="1" x14ac:dyDescent="0.35">
      <c r="A22" s="240"/>
      <c r="B22" s="240"/>
      <c r="F22" s="63"/>
      <c r="G22" s="1">
        <v>2050</v>
      </c>
      <c r="H22" s="392">
        <v>-0.114774435958229</v>
      </c>
      <c r="I22" s="86" t="s">
        <v>317</v>
      </c>
      <c r="M22" s="86"/>
      <c r="N22" s="120"/>
    </row>
    <row r="23" spans="1:14" ht="13.5" thickTop="1" x14ac:dyDescent="0.2">
      <c r="A23" s="240"/>
      <c r="B23" s="240"/>
      <c r="F23" s="63"/>
    </row>
    <row r="24" spans="1:14" x14ac:dyDescent="0.2">
      <c r="A24" s="240"/>
      <c r="B24" s="240"/>
      <c r="F24" s="63"/>
      <c r="G24" s="391" t="s">
        <v>263</v>
      </c>
      <c r="K24" s="86"/>
      <c r="L24" s="86"/>
    </row>
    <row r="25" spans="1:14" ht="15.75" x14ac:dyDescent="0.3">
      <c r="A25" s="240"/>
      <c r="B25" s="240"/>
      <c r="F25" s="63"/>
      <c r="G25" s="86" t="s">
        <v>264</v>
      </c>
      <c r="H25" s="86" t="s">
        <v>329</v>
      </c>
      <c r="I25" s="120">
        <v>28566</v>
      </c>
      <c r="J25" s="86" t="s">
        <v>330</v>
      </c>
      <c r="K25" s="53">
        <v>8.1508711971959986</v>
      </c>
      <c r="L25" s="86" t="s">
        <v>331</v>
      </c>
    </row>
    <row r="26" spans="1:14" ht="15.75" x14ac:dyDescent="0.3">
      <c r="A26" s="240"/>
      <c r="B26" s="240"/>
      <c r="F26" s="63"/>
      <c r="G26" s="86" t="s">
        <v>265</v>
      </c>
      <c r="H26" s="86" t="s">
        <v>329</v>
      </c>
      <c r="I26" s="120">
        <v>28566</v>
      </c>
      <c r="J26" s="86" t="s">
        <v>330</v>
      </c>
      <c r="K26" s="53">
        <v>1.3444153242142856</v>
      </c>
      <c r="L26" s="86" t="s">
        <v>332</v>
      </c>
    </row>
    <row r="27" spans="1:14" x14ac:dyDescent="0.2">
      <c r="A27" s="240"/>
      <c r="B27" s="240"/>
      <c r="F27" s="63"/>
      <c r="G27" s="86"/>
    </row>
    <row r="28" spans="1:14" ht="16.5" thickBot="1" x14ac:dyDescent="0.35">
      <c r="A28" s="240"/>
      <c r="B28" s="240"/>
      <c r="F28" s="63"/>
      <c r="G28" s="86"/>
      <c r="K28" s="395">
        <f>K25*25+K26*298</f>
        <v>604.4075465457571</v>
      </c>
      <c r="L28" s="86" t="s">
        <v>333</v>
      </c>
    </row>
    <row r="29" spans="1:14" ht="17.25" thickTop="1" thickBot="1" x14ac:dyDescent="0.35">
      <c r="A29" s="240"/>
      <c r="B29" s="240"/>
      <c r="F29" s="63"/>
      <c r="G29" s="86"/>
      <c r="K29" s="392">
        <f>-K28/1000</f>
        <v>-0.60440754654575712</v>
      </c>
      <c r="L29" s="86" t="s">
        <v>334</v>
      </c>
    </row>
    <row r="30" spans="1:14" ht="13.5" thickTop="1" x14ac:dyDescent="0.2">
      <c r="A30" s="240"/>
      <c r="B30" s="240"/>
      <c r="F30" s="63"/>
    </row>
    <row r="31" spans="1:14" x14ac:dyDescent="0.2">
      <c r="A31" s="240"/>
      <c r="B31" s="240"/>
      <c r="F31" s="63"/>
    </row>
    <row r="32" spans="1:14" x14ac:dyDescent="0.2">
      <c r="A32" s="240"/>
      <c r="B32" s="240"/>
      <c r="F32" s="63"/>
    </row>
    <row r="33" spans="1:18" x14ac:dyDescent="0.2">
      <c r="A33" s="240"/>
      <c r="B33" s="240"/>
      <c r="F33" s="63"/>
    </row>
    <row r="34" spans="1:18" x14ac:dyDescent="0.2">
      <c r="A34" s="240"/>
      <c r="B34" s="240"/>
      <c r="F34" s="63"/>
    </row>
    <row r="35" spans="1:18" x14ac:dyDescent="0.2">
      <c r="A35" s="240"/>
      <c r="B35" s="240"/>
      <c r="F35" s="63"/>
    </row>
    <row r="36" spans="1:18" x14ac:dyDescent="0.2">
      <c r="A36" s="240"/>
      <c r="B36" s="240"/>
      <c r="F36" s="63"/>
    </row>
    <row r="37" spans="1:18" x14ac:dyDescent="0.2">
      <c r="A37" s="240"/>
      <c r="B37" s="240"/>
      <c r="F37" s="63"/>
    </row>
    <row r="38" spans="1:18" x14ac:dyDescent="0.2">
      <c r="A38" s="240"/>
      <c r="B38" s="240"/>
      <c r="F38" s="63"/>
      <c r="R38" s="241"/>
    </row>
    <row r="39" spans="1:18" x14ac:dyDescent="0.2">
      <c r="A39" s="240"/>
      <c r="B39" s="240"/>
      <c r="F39" s="63"/>
    </row>
    <row r="40" spans="1:18" x14ac:dyDescent="0.2">
      <c r="A40" s="240"/>
      <c r="B40" s="240"/>
      <c r="F40" s="63"/>
    </row>
    <row r="41" spans="1:18" s="301" customFormat="1" ht="23.25" x14ac:dyDescent="0.35">
      <c r="A41" s="303" t="s">
        <v>273</v>
      </c>
      <c r="B41" s="303"/>
      <c r="F41" s="304"/>
    </row>
    <row r="43" spans="1:18" s="4" customFormat="1" ht="14.25" x14ac:dyDescent="0.25">
      <c r="A43" s="222" t="s">
        <v>167</v>
      </c>
      <c r="B43" s="222" t="s">
        <v>165</v>
      </c>
      <c r="C43" s="242" t="s">
        <v>165</v>
      </c>
      <c r="D43" s="242" t="s">
        <v>165</v>
      </c>
      <c r="E43" s="242" t="s">
        <v>165</v>
      </c>
      <c r="H43" s="347" t="s">
        <v>318</v>
      </c>
      <c r="I43" s="347"/>
      <c r="J43" s="348"/>
      <c r="K43" s="348"/>
      <c r="L43" s="1"/>
      <c r="M43" s="1"/>
    </row>
    <row r="44" spans="1:18" s="4" customFormat="1" x14ac:dyDescent="0.2">
      <c r="A44" s="243"/>
      <c r="B44" s="244">
        <v>1990</v>
      </c>
      <c r="C44" s="222">
        <v>2018</v>
      </c>
      <c r="D44" s="222" t="s">
        <v>220</v>
      </c>
      <c r="E44" s="222" t="s">
        <v>221</v>
      </c>
      <c r="H44" s="4">
        <v>2030</v>
      </c>
      <c r="I44" s="257">
        <v>2050</v>
      </c>
      <c r="J44" s="1"/>
      <c r="K44" s="1"/>
      <c r="L44" s="1"/>
      <c r="M44" s="1" t="s">
        <v>271</v>
      </c>
    </row>
    <row r="45" spans="1:18" s="4" customFormat="1" x14ac:dyDescent="0.2">
      <c r="A45" s="243" t="s">
        <v>153</v>
      </c>
      <c r="B45" s="245">
        <f>('1990'!$X$17*'1990'!$E$89+(IF(SUM('1990'!$I$33:$I$71)=0,0,'1990'!$X$18-('1990'!$I$16+'1990'!$I$18)/('1990'!$I$16+'1990'!$I$18+'1990'!$I$24+SUM('1990'!$I$33:$I$71))*SUM('1990'!$L$31:$V$31)))*'1990'!$I$89)/1000</f>
        <v>6.9463800000000004</v>
      </c>
      <c r="C45" s="245">
        <f>('2018'!$X$17*'2018'!$E$89+(IF(SUM('2018'!$I$33:$I$71)=0,0,'2018'!$X$18-('2018'!$I$16+'2018'!$I$18)/('2018'!$I$16+'2018'!$I$18+'2018'!$I$24+SUM('2018'!$I$33:$I$71))*SUM('2018'!$L$31:$V$31)))*'2018'!$I$89)/1000</f>
        <v>1.8314999999999999</v>
      </c>
      <c r="D45" s="245">
        <f>('BAU2030'!$X$17*'BAU2030'!$E$89+(IF(SUM('BAU2030'!$I$33:$I$71)=0,0,'BAU2030'!$X$18-('BAU2030'!$I$16+'BAU2030'!$I$18)/('BAU2030'!$I$16+'BAU2030'!$I$18+'BAU2030'!$I$24+SUM('BAU2030'!$I$33:$I$71))*SUM('BAU2030'!$L$31:$V$31)))*'BAU2030'!$I$89)/1000</f>
        <v>0.52747199999999994</v>
      </c>
      <c r="E45" s="245">
        <f>('BAU2050'!$X$17*'BAU2050'!$E$89+(IF(SUM('BAU2050'!$I$33:$I$71)=0,0,'BAU2050'!$X$18-('BAU2050'!$I$16+'BAU2050'!$I$18)/('BAU2050'!$I$16+'BAU2050'!$I$18+'BAU2050'!$I$24+SUM('BAU2050'!$I$33:$I$71))*SUM('BAU2050'!$L$31:$V$31)))*'BAU2050'!$I$89)/1000</f>
        <v>0</v>
      </c>
      <c r="H45" s="3">
        <f>B68*(1-70%)</f>
        <v>12.913857566144914</v>
      </c>
      <c r="I45" s="257">
        <v>0</v>
      </c>
      <c r="J45" s="1"/>
      <c r="K45" s="1"/>
      <c r="L45" s="1"/>
      <c r="M45" s="255">
        <v>0.7</v>
      </c>
    </row>
    <row r="46" spans="1:18" s="4" customFormat="1" x14ac:dyDescent="0.2">
      <c r="A46" s="243" t="s">
        <v>154</v>
      </c>
      <c r="B46" s="32">
        <f>(SUM('1990'!$B$33:$B$62)*'1990'!$B$89+SUM('1990'!$C$33:$C$62)*'1990'!$C$89+SUM('1990'!$D$33:$D$62)*'1990'!$D$89+SUM('1990'!$E$33:$E$62)*'1990'!$E$89+SUM('1990'!$F$33:$F$62)*'1990'!$F$89+SUM('1990'!$G$33:$G$62)*'1990'!$G$89+SUM('1990'!$H$33:$H$62)*'1990'!$H$89+(IF(SUM('1990'!$I$33:$I$71)=0,0,SUM('1990'!$I$33:$I$62)-SUM('1990'!$I$33:$I$71)/('1990'!$I$16+'1990'!$I$18+'1990'!$I$24+SUM('1990'!$I$33:$I$71))*SUM('1990'!$L$31:$V$31)))*'1990'!$I$89+SUM('1990'!$W$33:$W$62)*'1990'!$W$89)/1000</f>
        <v>0</v>
      </c>
      <c r="C46" s="32">
        <f>(SUM('2018'!$B$33:$B$62)*'2018'!$B$89+SUM('2018'!$C$33:$C$62)*'2018'!$C$89+SUM('2018'!$D$33:$D$62)*'2018'!$D$89+SUM('2018'!$E$33:$E$62)*'2018'!$E$89+SUM('2018'!$F$33:$F$62)*'2018'!$F$89+SUM('2018'!$G$33:$G$62)*'2018'!$G$89+SUM('2018'!$H$33:$H$62)*'2018'!$H$89+(IF(SUM('2018'!$I$33:$I$71)=0,0,SUM('2018'!$I$33:$I$62)-SUM('2018'!$I$33:$I$71)/('2018'!$I$16+'2018'!$I$18+'2018'!$I$24+SUM('2018'!$I$33:$I$71))*SUM('2018'!$L$31:$V$31)))*'2018'!$I$89+SUM('2018'!$W$33:$W$62)*'2018'!$W$89)/1000</f>
        <v>3.6851999999999996E-2</v>
      </c>
      <c r="D46" s="32">
        <f>(SUM('BAU2030'!$B$33:$B$62)*'BAU2030'!$B$89+SUM('BAU2030'!$C$33:$C$62)*'BAU2030'!$C$89+SUM('BAU2030'!$D$33:$D$62)*'BAU2030'!$D$89+SUM('BAU2030'!$E$33:$E$62)*'BAU2030'!$E$89+SUM('BAU2030'!$F$33:$F$62)*'BAU2030'!$F$89+SUM('BAU2030'!$G$33:$G$62)*'BAU2030'!$G$89+SUM('BAU2030'!$H$33:$H$62)*'BAU2030'!$H$89+(IF(SUM('BAU2030'!$I$33:$I$71)=0,0,SUM('BAU2030'!$I$33:$I$62)-SUM('BAU2030'!$I$33:$I$71)/('BAU2030'!$I$16+'BAU2030'!$I$18+'BAU2030'!$I$24+SUM('BAU2030'!$I$33:$I$71))*SUM('BAU2030'!$L$31:$V$31)))*'BAU2030'!$I$89+SUM('BAU2030'!$W$33:$W$62)*'BAU2030'!$W$89)/1000</f>
        <v>3.537792E-2</v>
      </c>
      <c r="E46" s="32">
        <f>(SUM('BAU2050'!$B$33:$B$62)*'BAU2050'!$B$89+SUM('BAU2050'!$C$33:$C$62)*'BAU2050'!$C$89+SUM('BAU2050'!$D$33:$D$62)*'BAU2050'!$D$89+SUM('BAU2050'!$E$33:$E$62)*'BAU2050'!$E$89+SUM('BAU2050'!$F$33:$F$62)*'BAU2050'!$F$89+SUM('BAU2050'!$G$33:$G$62)*'BAU2050'!$G$89+SUM('BAU2050'!$H$33:$H$62)*'BAU2050'!$H$89+(IF(SUM('BAU2050'!$I$33:$I$71)=0,0,SUM('BAU2050'!$I$33:$I$62)-SUM('BAU2050'!$I$33:$I$71)/('BAU2050'!$I$16+'BAU2050'!$I$18+'BAU2050'!$I$24+SUM('BAU2050'!$I$33:$I$71))*SUM('BAU2050'!$L$31:$V$31)))*'BAU2050'!$I$89+SUM('BAU2050'!$W$33:$W$62)*'BAU2050'!$W$89)/1000</f>
        <v>3.3166800000000003E-2</v>
      </c>
      <c r="H46" s="1"/>
      <c r="I46" s="1"/>
      <c r="J46" s="120"/>
      <c r="K46" s="1"/>
      <c r="L46" s="86" t="s">
        <v>274</v>
      </c>
      <c r="M46" s="135">
        <f>H45*1000/H3</f>
        <v>7.1465730858577281</v>
      </c>
    </row>
    <row r="47" spans="1:18" s="4" customFormat="1" x14ac:dyDescent="0.2">
      <c r="A47" s="243" t="s">
        <v>254</v>
      </c>
      <c r="B47" s="32">
        <f>(SUM('1990'!$B$63:$B$71,'1990'!$B$24:$B$25,'1990'!$B$23,'1990'!$B$16)*'1990'!$B$89+SUM('1990'!$C$63:$C$71,'1990'!$C$24:$C$25,'1990'!$C$23,'1990'!$C$16)*'1990'!$C$89+SUM('1990'!$D$63:$D$71,'1990'!$D$24:$D$25,'1990'!$D$23,'1990'!$D$16)*'1990'!$D$89+SUM('1990'!$E$63:$E$71,'1990'!$E$24:$E$25,'1990'!$E$23,'1990'!$E$16)*'1990'!$E$89+SUM('1990'!$F$63:$F$71,'1990'!$F$24:$F$25,'1990'!$F$23,'1990'!$F$16)*'1990'!$F$89+SUM('1990'!$G$63:$G$71,'1990'!$G$24:$G$25,'1990'!$G$23,'1990'!$G$16)*'1990'!$G$89+SUM('1990'!$G$63:$G$71,'1990'!$G$24:$G$25,'1990'!$G$23,'1990'!$G$16)*'1990'!$G$89+SUM('1990'!$H$63:$H$71,'1990'!$H$24:$H$25,'1990'!$H$23,'1990'!$H$16)*'1990'!$H$89+(SUM('1990'!$I$63:$I$71,'1990'!$I$24:$I$25,'1990'!$I$23,'1990'!$I$16)-IF(SUM('1990'!$I$33:$I$71)=0,0,('1990'!$I$24)/('1990'!$I$16+'1990'!$I$18+'1990'!$I$24+SUM('1990'!$I$33:$I$71)))*SUM('1990'!$L$31:$V$31))*'1990'!$I$89+SUM('1990'!$W$63:$W$71,'1990'!$W$24:$W$25,'1990'!$W$23,'1990'!$W$16)*'1990'!$W$89)/1000</f>
        <v>0.3086456105054145</v>
      </c>
      <c r="C47" s="32">
        <f>(SUM('2018'!$B$63:$B$71,'2018'!$B$24:$B$25,'2018'!$B$23,'2018'!$B$16)*'2018'!$B$89+SUM('2018'!$C$63:$C$71,'2018'!$C$24:$C$25,'2018'!$C$23,'2018'!$C$16)*'2018'!$C$89+SUM('2018'!$D$63:$D$71,'2018'!$D$24:$D$25,'2018'!$D$23,'2018'!$D$16)*'2018'!$D$89+SUM('2018'!$E$63:$E$71,'2018'!$E$24:$E$25,'2018'!$E$23,'2018'!$E$16)*'2018'!$E$89+SUM('2018'!$F$63:$F$71,'2018'!$F$24:$F$25,'2018'!$F$23,'2018'!$F$16)*'2018'!$F$89+SUM('2018'!$G$63:$G$71,'2018'!$G$24:$G$25,'2018'!$G$23,'2018'!$G$16)*'2018'!$G$89+SUM('2018'!$G$63:$G$71,'2018'!$G$24:$G$25,'2018'!$G$23,'2018'!$G$16)*'2018'!$G$89+SUM('2018'!$H$63:$H$71,'2018'!$H$24:$H$25,'2018'!$H$23,'2018'!$H$16)*'2018'!$H$89+(SUM('2018'!$I$63:$I$71,'2018'!$I$24:$I$25,'2018'!$I$23,'2018'!$I$16)-IF(SUM('2018'!$I$33:$I$71)=0,0,('2018'!$I$24)/('2018'!$I$16+'2018'!$I$18+'2018'!$I$24+SUM('2018'!$I$33:$I$71)))*SUM('2018'!$L$31:$V$31))*'2018'!$I$89+SUM('2018'!$W$63:$W$71,'2018'!$W$24:$W$25,'2018'!$W$23,'2018'!$W$16)*'2018'!$W$89)/1000</f>
        <v>5.6159000000000001E-2</v>
      </c>
      <c r="D47" s="32">
        <f>(SUM('BAU2030'!$B$63:$B$71,'BAU2030'!$B$24:$B$25,'BAU2030'!$B$23,'BAU2030'!$B$16)*'BAU2030'!$B$89+SUM('BAU2030'!$C$63:$C$71,'BAU2030'!$C$24:$C$25,'BAU2030'!$C$23,'BAU2030'!$C$16)*'BAU2030'!$C$89+SUM('BAU2030'!$D$63:$D$71,'BAU2030'!$D$24:$D$25,'BAU2030'!$D$23,'BAU2030'!$D$16)*'BAU2030'!$D$89+SUM('BAU2030'!$E$63:$E$71,'BAU2030'!$E$24:$E$25,'BAU2030'!$E$23,'BAU2030'!$E$16)*'BAU2030'!$E$89+SUM('BAU2030'!$F$63:$F$71,'BAU2030'!$F$24:$F$25,'BAU2030'!$F$23,'BAU2030'!$F$16)*'BAU2030'!$F$89+SUM('BAU2030'!$G$63:$G$71,'BAU2030'!$G$24:$G$25,'BAU2030'!$G$23,'BAU2030'!$G$16)*'BAU2030'!$G$89+SUM('BAU2030'!$G$63:$G$71,'BAU2030'!$G$24:$G$25,'BAU2030'!$G$23,'BAU2030'!$G$16)*'BAU2030'!$G$89+SUM('BAU2030'!$H$63:$H$71,'BAU2030'!$H$24:$H$25,'BAU2030'!$H$23,'BAU2030'!$H$16)*'BAU2030'!$H$89+(SUM('BAU2030'!$I$63:$I$71,'BAU2030'!$I$24:$I$25,'BAU2030'!$I$23,'BAU2030'!$I$16)-IF(SUM('BAU2030'!$I$33:$I$71)=0,0,('BAU2030'!$I$24)/('BAU2030'!$I$16+'BAU2030'!$I$18+'BAU2030'!$I$24+SUM('BAU2030'!$I$33:$I$71)))*SUM('BAU2030'!$L$31:$V$31))*'BAU2030'!$I$89+SUM('BAU2030'!$W$63:$W$71,'BAU2030'!$W$24:$W$25,'BAU2030'!$W$23,'BAU2030'!$W$16)*'BAU2030'!$W$89)/1000</f>
        <v>5.6159000000000001E-2</v>
      </c>
      <c r="E47" s="32">
        <f>(SUM('BAU2050'!$B$63:$B$71,'BAU2050'!$B$24:$B$25,'BAU2050'!$B$23,'BAU2050'!$B$16)*'BAU2050'!$B$89+SUM('BAU2050'!$C$63:$C$71,'BAU2050'!$C$24:$C$25,'BAU2050'!$C$23,'BAU2050'!$C$16)*'BAU2050'!$C$89+SUM('BAU2050'!$D$63:$D$71,'BAU2050'!$D$24:$D$25,'BAU2050'!$D$23,'BAU2050'!$D$16)*'BAU2050'!$D$89+SUM('BAU2050'!$E$63:$E$71,'BAU2050'!$E$24:$E$25,'BAU2050'!$E$23,'BAU2050'!$E$16)*'BAU2050'!$E$89+SUM('BAU2050'!$F$63:$F$71,'BAU2050'!$F$24:$F$25,'BAU2050'!$F$23,'BAU2050'!$F$16)*'BAU2050'!$F$89+SUM('BAU2050'!$G$63:$G$71,'BAU2050'!$G$24:$G$25,'BAU2050'!$G$23,'BAU2050'!$G$16)*'BAU2050'!$G$89+SUM('BAU2050'!$G$63:$G$71,'BAU2050'!$G$24:$G$25,'BAU2050'!$G$23,'BAU2050'!$G$16)*'BAU2050'!$G$89+SUM('BAU2050'!$H$63:$H$71,'BAU2050'!$H$24:$H$25,'BAU2050'!$H$23,'BAU2050'!$H$16)*'BAU2050'!$H$89+(SUM('BAU2050'!$I$63:$I$71,'BAU2050'!$I$24:$I$25,'BAU2050'!$I$23,'BAU2050'!$I$16)-IF(SUM('BAU2050'!$I$33:$I$71)=0,0,('BAU2050'!$I$24)/('BAU2050'!$I$16+'BAU2050'!$I$18+'BAU2050'!$I$24+SUM('BAU2050'!$I$33:$I$71)))*SUM('BAU2050'!$L$31:$V$31))*'BAU2050'!$I$89+SUM('BAU2050'!$W$63:$W$71,'BAU2050'!$W$24:$W$25,'BAU2050'!$W$23,'BAU2050'!$W$16)*'BAU2050'!$W$89)/1000</f>
        <v>5.6159000000000001E-2</v>
      </c>
      <c r="H47" s="349" t="s">
        <v>257</v>
      </c>
      <c r="I47" s="349"/>
      <c r="J47" s="1"/>
      <c r="K47" s="1"/>
      <c r="L47" s="1"/>
      <c r="M47" s="1"/>
    </row>
    <row r="48" spans="1:18" s="4" customFormat="1" x14ac:dyDescent="0.2">
      <c r="A48" s="243" t="s">
        <v>156</v>
      </c>
      <c r="B48" s="32">
        <f>('1990'!$D$80*'1990'!$D$89+'1990'!$F$82*1000+'1990'!$G$82*1000+'1990'!$H$82*1000)/1000</f>
        <v>5.4696874070448613</v>
      </c>
      <c r="C48" s="32">
        <f>('2018'!$D$80*'2018'!$D$89+'2018'!$F$82*1000+'2018'!$G$82*1000+'2018'!$H$82*1000)/1000</f>
        <v>6.5195312800000007</v>
      </c>
      <c r="D48" s="32">
        <f>('BAU2030'!$D$80*'BAU2030'!$D$89+'BAU2030'!$F$82*1000+'BAU2030'!$G$82*1000+'BAU2030'!$H$82*1000)/1000</f>
        <v>6.2675864320420009</v>
      </c>
      <c r="E48" s="32">
        <f>('BAU2050'!$D$80*'BAU2050'!$D$89+'BAU2050'!$F$82*1000+'BAU2050'!$G$82*1000+'BAU2050'!$H$82*1000)/1000</f>
        <v>4.68929102255</v>
      </c>
      <c r="H48" s="4" t="s">
        <v>220</v>
      </c>
      <c r="I48" s="246" t="s">
        <v>221</v>
      </c>
      <c r="J48" s="1"/>
      <c r="K48" s="1"/>
      <c r="L48" s="1"/>
      <c r="M48" s="1"/>
    </row>
    <row r="49" spans="1:29" s="4" customFormat="1" x14ac:dyDescent="0.2">
      <c r="A49" s="243" t="s">
        <v>157</v>
      </c>
      <c r="B49" s="32">
        <f>'1990'!$A$82</f>
        <v>11.368536201287085</v>
      </c>
      <c r="C49" s="32">
        <f>'2018'!$A$82</f>
        <v>4.5293996632071147</v>
      </c>
      <c r="D49" s="32">
        <f>'BAU2030'!$A$82</f>
        <v>0</v>
      </c>
      <c r="E49" s="32">
        <f>'BAU2050'!$A$82</f>
        <v>0</v>
      </c>
      <c r="H49" s="178">
        <f>D68-H45</f>
        <v>10.141310873687781</v>
      </c>
      <c r="I49" s="256">
        <f>E68-0</f>
        <v>20.876559488212553</v>
      </c>
      <c r="J49" s="1"/>
      <c r="K49" s="1"/>
      <c r="L49" s="1"/>
      <c r="M49" s="1"/>
      <c r="N49" s="1"/>
    </row>
    <row r="50" spans="1:29" s="4" customFormat="1" x14ac:dyDescent="0.2">
      <c r="A50" s="243" t="s">
        <v>255</v>
      </c>
      <c r="B50" s="32">
        <f>B4+B5+B7</f>
        <v>18.127908863948711</v>
      </c>
      <c r="C50" s="32">
        <f t="shared" ref="C50:E50" si="0">C4+C5+C7</f>
        <v>16.210459165987402</v>
      </c>
      <c r="D50" s="32">
        <f t="shared" si="0"/>
        <v>15.606051619441644</v>
      </c>
      <c r="E50" s="32">
        <f t="shared" si="0"/>
        <v>15.606051619441644</v>
      </c>
      <c r="I50" s="252"/>
      <c r="J50" s="1"/>
      <c r="K50" s="1"/>
      <c r="L50" s="1"/>
      <c r="M50" s="1"/>
      <c r="N50" s="1"/>
    </row>
    <row r="51" spans="1:29" s="4" customFormat="1" x14ac:dyDescent="0.2">
      <c r="A51" s="4" t="s">
        <v>251</v>
      </c>
      <c r="B51" s="32">
        <f>B6</f>
        <v>0.26912552338450213</v>
      </c>
      <c r="C51" s="32">
        <f>C6</f>
        <v>0.2460035113239212</v>
      </c>
      <c r="D51" s="32">
        <f>D6</f>
        <v>0.2460035113239212</v>
      </c>
      <c r="E51" s="32">
        <f>E6</f>
        <v>0.2460035113239212</v>
      </c>
      <c r="I51" s="252"/>
      <c r="J51" s="1"/>
      <c r="K51" s="1"/>
      <c r="L51" s="1"/>
      <c r="M51" s="1"/>
      <c r="N51" s="1"/>
    </row>
    <row r="52" spans="1:29" s="4" customFormat="1" x14ac:dyDescent="0.2">
      <c r="A52" s="243" t="s">
        <v>252</v>
      </c>
      <c r="B52" s="32">
        <f t="shared" ref="B52:E52" si="1">B8</f>
        <v>0.55590828097913103</v>
      </c>
      <c r="C52" s="32">
        <f t="shared" si="1"/>
        <v>0.36066197085521962</v>
      </c>
      <c r="D52" s="32">
        <f t="shared" si="1"/>
        <v>0.31651795702513164</v>
      </c>
      <c r="E52" s="32">
        <f t="shared" si="1"/>
        <v>0.24588753489699061</v>
      </c>
      <c r="I52" s="252"/>
      <c r="J52" s="1"/>
      <c r="K52" s="1"/>
      <c r="L52" s="1"/>
      <c r="M52" s="1"/>
      <c r="N52" s="1"/>
    </row>
    <row r="53" spans="1:29" s="4" customFormat="1" x14ac:dyDescent="0.2">
      <c r="A53" s="247" t="s">
        <v>147</v>
      </c>
      <c r="B53" s="248">
        <f>SUM(B45:B52)</f>
        <v>43.04619188714971</v>
      </c>
      <c r="C53" s="249">
        <f>SUM(C45:C52)</f>
        <v>29.790566591373658</v>
      </c>
      <c r="D53" s="249">
        <f>SUM(D45:D52)</f>
        <v>23.055168439832695</v>
      </c>
      <c r="E53" s="249">
        <f>SUM(E45:E52)</f>
        <v>20.876559488212553</v>
      </c>
      <c r="H53" s="1"/>
      <c r="J53" s="252"/>
      <c r="K53" s="1"/>
      <c r="L53" s="1"/>
      <c r="M53" s="1"/>
      <c r="N53" s="1"/>
    </row>
    <row r="54" spans="1:29" s="4" customFormat="1" x14ac:dyDescent="0.2">
      <c r="A54" s="222" t="s">
        <v>256</v>
      </c>
      <c r="B54" s="250">
        <f>B53*1000/$H$3</f>
        <v>23.821910286192423</v>
      </c>
      <c r="C54" s="250">
        <f>C53*1000/$H$3</f>
        <v>16.486201766117134</v>
      </c>
      <c r="D54" s="250">
        <f>D53*1000/$H$3</f>
        <v>12.758809319221193</v>
      </c>
      <c r="E54" s="250">
        <f>E53*1000/$H$3</f>
        <v>11.553159650366661</v>
      </c>
    </row>
    <row r="56" spans="1:29" x14ac:dyDescent="0.2">
      <c r="C56" s="251"/>
      <c r="D56" s="120"/>
    </row>
    <row r="59" spans="1:29" ht="14.25" x14ac:dyDescent="0.25">
      <c r="A59" s="222" t="s">
        <v>167</v>
      </c>
      <c r="B59" s="222" t="s">
        <v>165</v>
      </c>
      <c r="C59" s="242" t="s">
        <v>165</v>
      </c>
      <c r="D59" s="242" t="s">
        <v>165</v>
      </c>
      <c r="E59" s="242" t="s">
        <v>165</v>
      </c>
    </row>
    <row r="60" spans="1:29" x14ac:dyDescent="0.2">
      <c r="A60" s="232"/>
      <c r="B60" s="232">
        <v>1990</v>
      </c>
      <c r="C60" s="232">
        <v>2018</v>
      </c>
      <c r="D60" s="253" t="s">
        <v>220</v>
      </c>
      <c r="E60" s="254" t="s">
        <v>221</v>
      </c>
    </row>
    <row r="61" spans="1:29" x14ac:dyDescent="0.2">
      <c r="A61" s="232" t="s">
        <v>248</v>
      </c>
      <c r="B61" s="235">
        <f t="shared" ref="B61:E63" si="2">B4</f>
        <v>6.1208741813746057</v>
      </c>
      <c r="C61" s="235">
        <f t="shared" si="2"/>
        <v>4.2073434395136182</v>
      </c>
      <c r="D61" s="235">
        <f t="shared" si="2"/>
        <v>4.2073434395136182</v>
      </c>
      <c r="E61" s="235">
        <f t="shared" si="2"/>
        <v>4.2073434395136182</v>
      </c>
      <c r="AC61" s="241"/>
    </row>
    <row r="62" spans="1:29" x14ac:dyDescent="0.2">
      <c r="A62" s="232" t="s">
        <v>249</v>
      </c>
      <c r="B62" s="235">
        <f t="shared" si="2"/>
        <v>6.1612086008937466</v>
      </c>
      <c r="C62" s="235">
        <f t="shared" si="2"/>
        <v>6.0239108015585296</v>
      </c>
      <c r="D62" s="235">
        <f t="shared" si="2"/>
        <v>5.4195032550127724</v>
      </c>
      <c r="E62" s="235">
        <f t="shared" si="2"/>
        <v>5.4195032550127724</v>
      </c>
    </row>
    <row r="63" spans="1:29" x14ac:dyDescent="0.2">
      <c r="A63" s="232" t="s">
        <v>251</v>
      </c>
      <c r="B63" s="235">
        <f>B6</f>
        <v>0.26912552338450213</v>
      </c>
      <c r="C63" s="235">
        <f t="shared" si="2"/>
        <v>0.2460035113239212</v>
      </c>
      <c r="D63" s="235">
        <f t="shared" si="2"/>
        <v>0.2460035113239212</v>
      </c>
      <c r="E63" s="235">
        <f t="shared" si="2"/>
        <v>0.2460035113239212</v>
      </c>
      <c r="I63" s="4"/>
      <c r="J63" s="257"/>
    </row>
    <row r="64" spans="1:29" x14ac:dyDescent="0.2">
      <c r="A64" s="232" t="s">
        <v>156</v>
      </c>
      <c r="B64" s="77">
        <f>B48</f>
        <v>5.4696874070448613</v>
      </c>
      <c r="C64" s="77">
        <f>C48</f>
        <v>6.5195312800000007</v>
      </c>
      <c r="D64" s="77">
        <f>D48</f>
        <v>6.2675864320420009</v>
      </c>
      <c r="E64" s="77">
        <f>E48</f>
        <v>4.68929102255</v>
      </c>
    </row>
    <row r="65" spans="1:10" x14ac:dyDescent="0.2">
      <c r="A65" s="232" t="s">
        <v>258</v>
      </c>
      <c r="B65" s="77">
        <f>B49+B47+B46+B45</f>
        <v>18.623561811792502</v>
      </c>
      <c r="C65" s="77">
        <f>C49+C47+C46+C45</f>
        <v>6.4539106632071146</v>
      </c>
      <c r="D65" s="77">
        <f>D49+D47+D46+D45</f>
        <v>0.61900891999999996</v>
      </c>
      <c r="E65" s="77">
        <f>E49+E47+E46+E45</f>
        <v>8.9325800000000011E-2</v>
      </c>
    </row>
    <row r="66" spans="1:10" x14ac:dyDescent="0.2">
      <c r="A66" s="232" t="s">
        <v>250</v>
      </c>
      <c r="B66" s="235">
        <f>B7</f>
        <v>5.84582608168036</v>
      </c>
      <c r="C66" s="235">
        <f t="shared" ref="C66:E66" si="3">C7</f>
        <v>5.979204924915253</v>
      </c>
      <c r="D66" s="235">
        <f t="shared" si="3"/>
        <v>5.979204924915253</v>
      </c>
      <c r="E66" s="235">
        <f t="shared" si="3"/>
        <v>5.979204924915253</v>
      </c>
    </row>
    <row r="67" spans="1:10" x14ac:dyDescent="0.2">
      <c r="A67" s="232" t="s">
        <v>259</v>
      </c>
      <c r="B67" s="235">
        <f>B8</f>
        <v>0.55590828097913103</v>
      </c>
      <c r="C67" s="235">
        <f>C8</f>
        <v>0.36066197085521962</v>
      </c>
      <c r="D67" s="235">
        <f>D8</f>
        <v>0.31651795702513164</v>
      </c>
      <c r="E67" s="235">
        <f>E8</f>
        <v>0.24588753489699061</v>
      </c>
    </row>
    <row r="68" spans="1:10" x14ac:dyDescent="0.2">
      <c r="A68" s="258" t="s">
        <v>147</v>
      </c>
      <c r="B68" s="249">
        <f>SUM(B61:B67)</f>
        <v>43.04619188714971</v>
      </c>
      <c r="C68" s="249">
        <f>SUM(C61:C67)</f>
        <v>29.790566591373654</v>
      </c>
      <c r="D68" s="249">
        <f>SUM(D61:D67)</f>
        <v>23.055168439832695</v>
      </c>
      <c r="E68" s="249">
        <f>SUM(E61:E67)</f>
        <v>20.876559488212553</v>
      </c>
    </row>
    <row r="69" spans="1:10" x14ac:dyDescent="0.2">
      <c r="A69" s="222" t="s">
        <v>256</v>
      </c>
      <c r="B69" s="250">
        <f>B68*1000/$H$3</f>
        <v>23.821910286192423</v>
      </c>
      <c r="C69" s="250">
        <f>C68*1000/$H$3</f>
        <v>16.48620176611713</v>
      </c>
      <c r="D69" s="250">
        <f>D68*1000/$H$3</f>
        <v>12.758809319221193</v>
      </c>
      <c r="E69" s="250">
        <f>E68*1000/$H$3</f>
        <v>11.553159650366661</v>
      </c>
    </row>
    <row r="70" spans="1:10" x14ac:dyDescent="0.2">
      <c r="D70" s="120"/>
      <c r="I70" s="259"/>
      <c r="J70" s="260"/>
    </row>
    <row r="71" spans="1:10" x14ac:dyDescent="0.2">
      <c r="D71" s="120"/>
      <c r="H71" s="4"/>
      <c r="I71" s="257"/>
    </row>
    <row r="72" spans="1:10" x14ac:dyDescent="0.2">
      <c r="D72" s="120"/>
      <c r="H72" s="4"/>
      <c r="I72" s="252"/>
    </row>
    <row r="73" spans="1:10" x14ac:dyDescent="0.2">
      <c r="D73" s="120"/>
      <c r="H73" s="4"/>
      <c r="I73" s="252"/>
    </row>
    <row r="74" spans="1:10" x14ac:dyDescent="0.2">
      <c r="D74" s="120"/>
      <c r="H74" s="4"/>
      <c r="I74" s="252"/>
    </row>
    <row r="75" spans="1:10" x14ac:dyDescent="0.2">
      <c r="D75" s="120"/>
      <c r="H75" s="4"/>
      <c r="I75" s="252"/>
    </row>
    <row r="76" spans="1:10" x14ac:dyDescent="0.2">
      <c r="H76" s="4"/>
      <c r="I76" s="252"/>
    </row>
    <row r="77" spans="1:10" x14ac:dyDescent="0.2">
      <c r="I77" s="252"/>
    </row>
  </sheetData>
  <mergeCells count="2">
    <mergeCell ref="H2:J2"/>
    <mergeCell ref="H3:J3"/>
  </mergeCells>
  <pageMargins left="0.7" right="0.7" top="0.75" bottom="0.75" header="0.3" footer="0.3"/>
  <pageSetup paperSize="9" orientation="portrait" horizontalDpi="4294967293" verticalDpi="4294967293"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5" ma:contentTypeDescription="Opret et nyt dokument." ma:contentTypeScope="" ma:versionID="69ccfec4ddfd64cd27d741e5cbb24fc1">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54d7258074ea64612ffe2d1596bb3c7b"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8F320B1E-F7D1-48E8-97AF-3800EF145ACB}"/>
</file>

<file path=customXml/itemProps2.xml><?xml version="1.0" encoding="utf-8"?>
<ds:datastoreItem xmlns:ds="http://schemas.openxmlformats.org/officeDocument/2006/customXml" ds:itemID="{E82F40DD-5141-458D-9DF0-54908D24EC75}"/>
</file>

<file path=customXml/itemProps3.xml><?xml version="1.0" encoding="utf-8"?>
<ds:datastoreItem xmlns:ds="http://schemas.openxmlformats.org/officeDocument/2006/customXml" ds:itemID="{493E1B0E-9A13-4132-95CF-AB0B1933F1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5</vt:i4>
      </vt:variant>
    </vt:vector>
  </HeadingPairs>
  <TitlesOfParts>
    <vt:vector size="11" baseType="lpstr">
      <vt:lpstr>BAU2050</vt:lpstr>
      <vt:lpstr>BAU2030</vt:lpstr>
      <vt:lpstr>2018</vt:lpstr>
      <vt:lpstr>1990</vt:lpstr>
      <vt:lpstr>Grafer</vt:lpstr>
      <vt:lpstr>Landbrug + Sammenfatning</vt:lpstr>
      <vt:lpstr>'1990'!Udskriftsområde</vt:lpstr>
      <vt:lpstr>'2018'!Udskriftsområde</vt:lpstr>
      <vt:lpstr>'BAU2030'!Udskriftsområde</vt:lpstr>
      <vt:lpstr>'BAU2050'!Udskriftsområde</vt:lpstr>
      <vt:lpstr>Grafer!Udskriftsområde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Max Gunnar Ansas Guddat</cp:lastModifiedBy>
  <cp:lastPrinted>2018-07-12T06:57:45Z</cp:lastPrinted>
  <dcterms:created xsi:type="dcterms:W3CDTF">2007-01-15T14:25:48Z</dcterms:created>
  <dcterms:modified xsi:type="dcterms:W3CDTF">2021-03-25T08:13:00Z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